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firstSheet="1" activeTab="12"/>
  </bookViews>
  <sheets>
    <sheet name="опл.фев.16" sheetId="1" r:id="rId1"/>
    <sheet name="опл. янв.16" sheetId="2" r:id="rId2"/>
    <sheet name="опл. март" sheetId="3" r:id="rId3"/>
    <sheet name="опл. апр." sheetId="4" r:id="rId4"/>
    <sheet name="опл.май" sheetId="5" r:id="rId5"/>
    <sheet name="опл. июнь" sheetId="6" r:id="rId6"/>
    <sheet name="опл. Июль" sheetId="7" r:id="rId7"/>
    <sheet name="опл. авг." sheetId="8" r:id="rId8"/>
    <sheet name="опл. сентяб." sheetId="9" r:id="rId9"/>
    <sheet name="опл. окт." sheetId="10" r:id="rId10"/>
    <sheet name="опл. нояб." sheetId="11" r:id="rId11"/>
    <sheet name="опл. дек." sheetId="12" r:id="rId12"/>
    <sheet name="Оплата 2016 год" sheetId="13" r:id="rId13"/>
    <sheet name="22-ЖКХ" sheetId="14" r:id="rId14"/>
    <sheet name="Начисл.2016" sheetId="15" r:id="rId15"/>
    <sheet name="Начисл.2015" sheetId="16" r:id="rId16"/>
  </sheets>
  <definedNames/>
  <calcPr fullCalcOnLoad="1"/>
</workbook>
</file>

<file path=xl/sharedStrings.xml><?xml version="1.0" encoding="utf-8"?>
<sst xmlns="http://schemas.openxmlformats.org/spreadsheetml/2006/main" count="811" uniqueCount="118">
  <si>
    <t>ООО Доломит</t>
  </si>
  <si>
    <t>Сод прид. Проезж части</t>
  </si>
  <si>
    <t>Уборка придомовой территории и лестн. Клеток</t>
  </si>
  <si>
    <t>восх</t>
  </si>
  <si>
    <t>Освещение мест общего пользования,Сод.зав хоз.ч, Сод. Приб. Учёта</t>
  </si>
  <si>
    <t>период (месяц, квартал, год)</t>
  </si>
  <si>
    <t>Наименование исполнителя</t>
  </si>
  <si>
    <t>Дератизация</t>
  </si>
  <si>
    <t>ВДПО</t>
  </si>
  <si>
    <t>Вывоз твёрдых бытовых отходов</t>
  </si>
  <si>
    <t>Ремонт общего имущества</t>
  </si>
  <si>
    <t>Наём</t>
  </si>
  <si>
    <t>содержание и ремонт общего имущества многоквартирного дома - всего</t>
  </si>
  <si>
    <t>Т.О. внутридомового инженер-ного оборудо-вания</t>
  </si>
  <si>
    <t>Т.О. внутридомового газового оборудо-вания</t>
  </si>
  <si>
    <t>в том числе</t>
  </si>
  <si>
    <t>январь</t>
  </si>
  <si>
    <t>Коммунальные услуги - всего</t>
  </si>
  <si>
    <t>водоснабжение</t>
  </si>
  <si>
    <t>водоотведение</t>
  </si>
  <si>
    <t>отопление (в пределах соцнормы)</t>
  </si>
  <si>
    <t>отопление (сверх соцнормы)</t>
  </si>
  <si>
    <t>ООО Фортуна</t>
  </si>
  <si>
    <t>ЧП Голиков</t>
  </si>
  <si>
    <t>Оплата</t>
  </si>
  <si>
    <t>Начислено по тарифу всего за месяц</t>
  </si>
  <si>
    <t>ТСЖ "Восход"</t>
  </si>
  <si>
    <t>Итого январь</t>
  </si>
  <si>
    <t>Плата за управление</t>
  </si>
  <si>
    <t>горячее водоснабжение</t>
  </si>
  <si>
    <t>Капитальный ремонт</t>
  </si>
  <si>
    <t>выгреба</t>
  </si>
  <si>
    <t>прочие</t>
  </si>
  <si>
    <t>Всего</t>
  </si>
  <si>
    <t>Праздникова Людмила Александровна</t>
  </si>
  <si>
    <t>(485 34) 2 48 91</t>
  </si>
  <si>
    <t>Входящее сальдо</t>
  </si>
  <si>
    <t>исходящее сальдо</t>
  </si>
  <si>
    <t>электроснабжение</t>
  </si>
  <si>
    <t>газоснабжение из ёмкости</t>
  </si>
  <si>
    <t>Наименование услуги</t>
  </si>
  <si>
    <t>Задолженность населения по оплате ЖКУ на начало года, тыс. руб.</t>
  </si>
  <si>
    <t>Начислено жилищно-коммунальных платежей с начала года, тыс.руб.</t>
  </si>
  <si>
    <t>льготы</t>
  </si>
  <si>
    <t>Начислено населению за ЖКУ без учёта льгот, т. руб.</t>
  </si>
  <si>
    <t>Фактический сбор жилищно-коммунальных платежей с начала года, т. руб.</t>
  </si>
  <si>
    <t>Оплочено населением за ЖКУ без учёта льгот, т. руб.</t>
  </si>
  <si>
    <t>Задолженность населения по оплате на отчётную дату, тыс.руб.</t>
  </si>
  <si>
    <t>Всего с начала года</t>
  </si>
  <si>
    <t>в т.ч. за отчётный месяц</t>
  </si>
  <si>
    <t>с начала года, т.руб.</t>
  </si>
  <si>
    <t>в том числе за отчётный месяц</t>
  </si>
  <si>
    <t>просроченная</t>
  </si>
  <si>
    <t>текущая</t>
  </si>
  <si>
    <t>из них по судебным решениям погашено задолженности прошлых периодов</t>
  </si>
  <si>
    <t>Жилищные услуги</t>
  </si>
  <si>
    <t>Коммунальные услуги (без электроэнергии и газа), Всего</t>
  </si>
  <si>
    <t>Холодное водоснабжение</t>
  </si>
  <si>
    <t>Водоотведение</t>
  </si>
  <si>
    <t>Горячее водоснабжение</t>
  </si>
  <si>
    <t>Отопление</t>
  </si>
  <si>
    <t>ИТОГО</t>
  </si>
  <si>
    <t>с начала года</t>
  </si>
  <si>
    <t xml:space="preserve"> Тек. Мес.</t>
  </si>
  <si>
    <t>% Сбора</t>
  </si>
  <si>
    <t>февраль</t>
  </si>
  <si>
    <t>2 месяца</t>
  </si>
  <si>
    <t>март</t>
  </si>
  <si>
    <t>3 месяца</t>
  </si>
  <si>
    <t>апрель</t>
  </si>
  <si>
    <t>4 месяца</t>
  </si>
  <si>
    <t>май</t>
  </si>
  <si>
    <t>5 месяцев</t>
  </si>
  <si>
    <t>июнь</t>
  </si>
  <si>
    <t>6 месяцев</t>
  </si>
  <si>
    <t>Начислено жилищно-коммунальных платежей тыс.руб.</t>
  </si>
  <si>
    <t>Контрольная цифра</t>
  </si>
  <si>
    <t>Процент сбора с начала года</t>
  </si>
  <si>
    <t>в том числе по месяцам</t>
  </si>
  <si>
    <t>июль</t>
  </si>
  <si>
    <t>август</t>
  </si>
  <si>
    <t>сентябрь</t>
  </si>
  <si>
    <t>октябрь</t>
  </si>
  <si>
    <t>ноябрь</t>
  </si>
  <si>
    <t>декабрь</t>
  </si>
  <si>
    <t>из отч. Дек.</t>
  </si>
  <si>
    <t>Строй-мастер-домофоны</t>
  </si>
  <si>
    <t>ВКГО</t>
  </si>
  <si>
    <t>7 месяцев</t>
  </si>
  <si>
    <t>8 месяцев</t>
  </si>
  <si>
    <t>8(485 34) 2 48 91</t>
  </si>
  <si>
    <t>9 месяцев</t>
  </si>
  <si>
    <t>тек.</t>
  </si>
  <si>
    <t>10 месяцев</t>
  </si>
  <si>
    <t>11 месяцев</t>
  </si>
  <si>
    <t>12 месяцев</t>
  </si>
  <si>
    <t>Доплата домкому</t>
  </si>
  <si>
    <t>Сводная ведомость начислений за ЖКУ по ТСЖ "Восход" за 2015 год</t>
  </si>
  <si>
    <t>просроч</t>
  </si>
  <si>
    <t>нереальн.</t>
  </si>
  <si>
    <t>нереальная</t>
  </si>
  <si>
    <t xml:space="preserve">Сведения об оплате населением ЖКУ по состоянию на 01.03.2016 года ТСЖ "Восход" </t>
  </si>
  <si>
    <t xml:space="preserve">Сведения об оплате населением ЖКУ по состоянию на 01.04.2016 года ТСЖ "Восход" </t>
  </si>
  <si>
    <t xml:space="preserve">Сведения об оплате населением ЖКУ по состоянию на 01.05.2016 года ТСЖ "Восход" </t>
  </si>
  <si>
    <t xml:space="preserve">Сведения об оплате населением ЖКУ по состоянию на 01.06.2016 года ТСЖ "Восход" </t>
  </si>
  <si>
    <t xml:space="preserve">Сведения об оплате населением ЖКУ по состоянию на 01.07.2016 года ТСЖ "Восход" </t>
  </si>
  <si>
    <t xml:space="preserve">Сведения об оплате населением ЖКУ по состоянию на 01.08.2016 года ТСЖ "Восход" </t>
  </si>
  <si>
    <t xml:space="preserve">Сведения об оплате населением ЖКУ по состоянию на 01.09.2016 года ТСЖ "Восход" </t>
  </si>
  <si>
    <t xml:space="preserve">Сведения об оплате населением ЖКУ по состоянию на 01.10.2016 года ТСЖ "Восход" </t>
  </si>
  <si>
    <t xml:space="preserve">Сведения об оплате населением ЖКУ по состоянию на 01.11.2016 года ТСЖ "Восход" </t>
  </si>
  <si>
    <t xml:space="preserve">Сведения об оплате населением ЖКУ по состоянию на 01.12.2016 года ТСЖ "Восход" </t>
  </si>
  <si>
    <t xml:space="preserve">Сведения об оплате населением ЖКУ по состоянию на 01.01.2017 года ТСЖ "Восход" </t>
  </si>
  <si>
    <t xml:space="preserve">Сведения об оплате населением ЖКУ по состоянию на 01.02.2016 года ТСЖ "Восход" </t>
  </si>
  <si>
    <t xml:space="preserve">Сведения об оплате населением ЖКУ за 2016 год ТСЖ "Восход" </t>
  </si>
  <si>
    <t>Сводная ведомость начислений за ЖКУ по ТСЖ "Восход" за 2016 год</t>
  </si>
  <si>
    <t>Электроснабжение</t>
  </si>
  <si>
    <t>проср.</t>
  </si>
  <si>
    <t>Сводная ведомость начислений за ЖКУ по ТСЖ "Восход" за 12 месяцев 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</si>
</sst>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%"/>
    <numFmt numFmtId="177" formatCode="0.000000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0000000"/>
    <numFmt numFmtId="182" formatCode="0.000000000"/>
    <numFmt numFmtId="183" formatCode="0.0000000"/>
    <numFmt numFmtId="184" formatCode="0.0E+00"/>
    <numFmt numFmtId="185" formatCode="0E+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172" fontId="4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72" fontId="2" fillId="0" borderId="0" xfId="0" applyNumberFormat="1" applyFont="1" applyAlignment="1">
      <alignment/>
    </xf>
    <xf numFmtId="176" fontId="0" fillId="0" borderId="0" xfId="55" applyNumberFormat="1" applyFont="1" applyAlignment="1">
      <alignment horizontal="center" vertical="center"/>
    </xf>
    <xf numFmtId="176" fontId="1" fillId="0" borderId="0" xfId="55" applyNumberFormat="1" applyFont="1" applyAlignment="1">
      <alignment horizontal="center" vertical="center"/>
    </xf>
    <xf numFmtId="172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176" fontId="1" fillId="0" borderId="10" xfId="55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9" fontId="1" fillId="0" borderId="10" xfId="55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176" fontId="1" fillId="0" borderId="0" xfId="55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9" fontId="1" fillId="0" borderId="10" xfId="55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textRotation="90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72" fontId="7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11" fontId="0" fillId="0" borderId="0" xfId="0" applyNumberFormat="1" applyFill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" fontId="3" fillId="0" borderId="10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/>
    </xf>
    <xf numFmtId="172" fontId="6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175" fontId="2" fillId="0" borderId="0" xfId="0" applyNumberFormat="1" applyFont="1" applyAlignment="1">
      <alignment/>
    </xf>
    <xf numFmtId="9" fontId="5" fillId="0" borderId="0" xfId="55" applyFont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B7">
      <selection activeCell="S6" sqref="S6:T12"/>
    </sheetView>
  </sheetViews>
  <sheetFormatPr defaultColWidth="9.140625" defaultRowHeight="12.75"/>
  <cols>
    <col min="1" max="1" width="21.7109375" style="0" customWidth="1"/>
    <col min="2" max="4" width="7.00390625" style="0" customWidth="1"/>
    <col min="5" max="5" width="7.57421875" style="0" customWidth="1"/>
    <col min="6" max="6" width="6.7109375" style="0" customWidth="1"/>
    <col min="7" max="7" width="5.140625" style="0" hidden="1" customWidth="1"/>
    <col min="8" max="8" width="4.8515625" style="0" hidden="1" customWidth="1"/>
    <col min="9" max="9" width="8.140625" style="0" customWidth="1"/>
    <col min="10" max="11" width="7.8515625" style="0" customWidth="1"/>
    <col min="12" max="12" width="7.7109375" style="0" customWidth="1"/>
    <col min="13" max="13" width="7.28125" style="0" customWidth="1"/>
    <col min="14" max="14" width="6.140625" style="0" customWidth="1"/>
    <col min="15" max="15" width="9.421875" style="0" customWidth="1"/>
    <col min="16" max="17" width="7.140625" style="0" customWidth="1"/>
    <col min="18" max="18" width="6.140625" style="0" customWidth="1"/>
    <col min="19" max="20" width="7.140625" style="0" customWidth="1"/>
  </cols>
  <sheetData>
    <row r="1" ht="12.75">
      <c r="A1" t="s">
        <v>101</v>
      </c>
    </row>
    <row r="3" spans="1:20" s="2" customFormat="1" ht="75" customHeight="1">
      <c r="A3" s="107" t="s">
        <v>40</v>
      </c>
      <c r="B3" s="107" t="s">
        <v>41</v>
      </c>
      <c r="C3" s="107"/>
      <c r="D3" s="107"/>
      <c r="E3" s="107" t="s">
        <v>42</v>
      </c>
      <c r="F3" s="107"/>
      <c r="G3" s="107" t="s">
        <v>43</v>
      </c>
      <c r="H3" s="107"/>
      <c r="I3" s="107" t="s">
        <v>44</v>
      </c>
      <c r="J3" s="107"/>
      <c r="K3" s="107" t="s">
        <v>45</v>
      </c>
      <c r="L3" s="107"/>
      <c r="M3" s="107" t="s">
        <v>46</v>
      </c>
      <c r="N3" s="107"/>
      <c r="O3" s="107"/>
      <c r="P3" s="107" t="s">
        <v>47</v>
      </c>
      <c r="Q3" s="107"/>
      <c r="R3" s="107"/>
      <c r="S3" s="107" t="s">
        <v>64</v>
      </c>
      <c r="T3" s="107"/>
    </row>
    <row r="4" spans="1:20" s="2" customFormat="1" ht="30" customHeight="1">
      <c r="A4" s="107"/>
      <c r="B4" s="107" t="s">
        <v>33</v>
      </c>
      <c r="C4" s="107" t="s">
        <v>15</v>
      </c>
      <c r="D4" s="107"/>
      <c r="E4" s="108" t="s">
        <v>48</v>
      </c>
      <c r="F4" s="108" t="s">
        <v>49</v>
      </c>
      <c r="G4" s="108" t="s">
        <v>48</v>
      </c>
      <c r="H4" s="108" t="s">
        <v>49</v>
      </c>
      <c r="I4" s="108" t="s">
        <v>48</v>
      </c>
      <c r="J4" s="108" t="s">
        <v>49</v>
      </c>
      <c r="K4" s="108" t="s">
        <v>48</v>
      </c>
      <c r="L4" s="108" t="s">
        <v>49</v>
      </c>
      <c r="M4" s="107" t="s">
        <v>50</v>
      </c>
      <c r="N4" s="107"/>
      <c r="O4" s="108" t="s">
        <v>51</v>
      </c>
      <c r="P4" s="107" t="s">
        <v>33</v>
      </c>
      <c r="Q4" s="107" t="s">
        <v>15</v>
      </c>
      <c r="R4" s="107"/>
      <c r="S4" s="108" t="s">
        <v>62</v>
      </c>
      <c r="T4" s="108" t="s">
        <v>63</v>
      </c>
    </row>
    <row r="5" spans="1:20" s="2" customFormat="1" ht="103.5" customHeight="1">
      <c r="A5" s="107"/>
      <c r="B5" s="107"/>
      <c r="C5" s="22" t="s">
        <v>52</v>
      </c>
      <c r="D5" s="22" t="s">
        <v>53</v>
      </c>
      <c r="E5" s="108"/>
      <c r="F5" s="108"/>
      <c r="G5" s="108"/>
      <c r="H5" s="108"/>
      <c r="I5" s="108"/>
      <c r="J5" s="108"/>
      <c r="K5" s="108"/>
      <c r="L5" s="108"/>
      <c r="M5" s="1" t="s">
        <v>33</v>
      </c>
      <c r="N5" s="23" t="s">
        <v>54</v>
      </c>
      <c r="O5" s="108"/>
      <c r="P5" s="107"/>
      <c r="Q5" s="22" t="s">
        <v>52</v>
      </c>
      <c r="R5" s="22" t="s">
        <v>53</v>
      </c>
      <c r="S5" s="108"/>
      <c r="T5" s="108"/>
    </row>
    <row r="6" spans="1:20" s="3" customFormat="1" ht="18.75" customHeight="1">
      <c r="A6" s="21" t="s">
        <v>55</v>
      </c>
      <c r="B6" s="26">
        <f aca="true" t="shared" si="0" ref="B6:B11">SUM(C6:D6)</f>
        <v>2037.0782399999998</v>
      </c>
      <c r="C6" s="26">
        <v>1514.230997</v>
      </c>
      <c r="D6" s="27">
        <v>522.847243</v>
      </c>
      <c r="E6" s="27">
        <f>SUM(E12-E7)</f>
        <v>4154.086170000002</v>
      </c>
      <c r="F6" s="27">
        <f>SUM(F12-F7)</f>
        <v>2080.49658</v>
      </c>
      <c r="G6" s="27">
        <v>0</v>
      </c>
      <c r="H6" s="27">
        <v>0</v>
      </c>
      <c r="I6" s="27">
        <f aca="true" t="shared" si="1" ref="I6:J12">SUM(E6-G6)</f>
        <v>4154.086170000002</v>
      </c>
      <c r="J6" s="27">
        <f t="shared" si="1"/>
        <v>2080.49658</v>
      </c>
      <c r="K6" s="27">
        <f>SUM(L6)+'опл. янв.16'!K6</f>
        <v>3027.08071</v>
      </c>
      <c r="L6" s="27">
        <f>SUM(L12-L7)</f>
        <v>2024.9167500000003</v>
      </c>
      <c r="M6" s="27">
        <f aca="true" t="shared" si="2" ref="M6:M12">SUM(K6)</f>
        <v>3027.08071</v>
      </c>
      <c r="N6" s="27">
        <f>SUM(N12-N7)</f>
        <v>48.22372729041422</v>
      </c>
      <c r="O6" s="27">
        <f aca="true" t="shared" si="3" ref="O6:O12">SUM(L6)</f>
        <v>2024.9167500000003</v>
      </c>
      <c r="P6" s="27">
        <f aca="true" t="shared" si="4" ref="P6:P12">SUM(B6+E6-K6)</f>
        <v>3164.083700000002</v>
      </c>
      <c r="Q6" s="27">
        <f>SUM(Q12-Q7)</f>
        <v>1709.1406017625595</v>
      </c>
      <c r="R6" s="27">
        <f>SUM(R12-R7)</f>
        <v>1454.9430982374433</v>
      </c>
      <c r="S6" s="38">
        <f>SUM(K6/E6)</f>
        <v>0.728699546933086</v>
      </c>
      <c r="T6" s="38">
        <f>SUM(L6/J6)</f>
        <v>0.973285305760993</v>
      </c>
    </row>
    <row r="7" spans="1:20" s="3" customFormat="1" ht="39.75" customHeight="1">
      <c r="A7" s="21" t="s">
        <v>56</v>
      </c>
      <c r="B7" s="26">
        <f t="shared" si="0"/>
        <v>3951.1929099999998</v>
      </c>
      <c r="C7" s="27">
        <f>SUM(C8:C11)</f>
        <v>2937.0589019999998</v>
      </c>
      <c r="D7" s="27">
        <f>SUM(D8:D11)</f>
        <v>1014.134008</v>
      </c>
      <c r="E7" s="27">
        <f>SUM(E8:E11)</f>
        <v>12277.984369999998</v>
      </c>
      <c r="F7" s="27">
        <f>SUM(F8:F11)</f>
        <v>5420.25179</v>
      </c>
      <c r="G7" s="27">
        <v>0</v>
      </c>
      <c r="H7" s="27">
        <v>0</v>
      </c>
      <c r="I7" s="27">
        <f t="shared" si="1"/>
        <v>12277.984369999998</v>
      </c>
      <c r="J7" s="27">
        <f t="shared" si="1"/>
        <v>5420.25179</v>
      </c>
      <c r="K7" s="27">
        <f>SUM(L7)+'опл. янв.16'!K7</f>
        <v>8691.06833</v>
      </c>
      <c r="L7" s="27">
        <f>SUM(L8:L11)</f>
        <v>6051.09884</v>
      </c>
      <c r="M7" s="27">
        <f t="shared" si="2"/>
        <v>8691.06833</v>
      </c>
      <c r="N7" s="27">
        <f>SUM(N12/M12)*M7</f>
        <v>138.4554127095858</v>
      </c>
      <c r="O7" s="27">
        <f t="shared" si="3"/>
        <v>6051.09884</v>
      </c>
      <c r="P7" s="27">
        <f t="shared" si="4"/>
        <v>7538.108949999998</v>
      </c>
      <c r="Q7" s="27">
        <f>SUM(Q8:Q11)</f>
        <v>4071.854378237441</v>
      </c>
      <c r="R7" s="27">
        <f>SUM(R8:R11)</f>
        <v>3466.254571762559</v>
      </c>
      <c r="S7" s="38">
        <f aca="true" t="shared" si="5" ref="S7:S12">SUM(K7/E7)</f>
        <v>0.7078579079507332</v>
      </c>
      <c r="T7" s="38">
        <f aca="true" t="shared" si="6" ref="T7:T12">SUM(L7/J7)</f>
        <v>1.116387037805858</v>
      </c>
    </row>
    <row r="8" spans="1:20" s="2" customFormat="1" ht="24.75" customHeight="1">
      <c r="A8" s="20" t="s">
        <v>57</v>
      </c>
      <c r="B8" s="28">
        <f t="shared" si="0"/>
        <v>983.69713</v>
      </c>
      <c r="C8" s="29">
        <v>731.216237</v>
      </c>
      <c r="D8" s="29">
        <v>252.480893</v>
      </c>
      <c r="E8" s="29">
        <f>SUM('Начисл.2016'!U8)/1000</f>
        <v>1553.6741600000003</v>
      </c>
      <c r="F8" s="29">
        <f>SUM('Начисл.2016'!U7)/1000</f>
        <v>766.43042</v>
      </c>
      <c r="G8" s="29">
        <v>0</v>
      </c>
      <c r="H8" s="29">
        <v>0</v>
      </c>
      <c r="I8" s="29">
        <f t="shared" si="1"/>
        <v>1553.6741600000003</v>
      </c>
      <c r="J8" s="29">
        <f t="shared" si="1"/>
        <v>766.43042</v>
      </c>
      <c r="K8" s="29">
        <f>SUM(L8)+'опл. янв.16'!K8</f>
        <v>1118.2094</v>
      </c>
      <c r="L8" s="29">
        <v>751.4379</v>
      </c>
      <c r="M8" s="29">
        <f t="shared" si="2"/>
        <v>1118.2094</v>
      </c>
      <c r="N8" s="29">
        <f>SUM(N12/M12)*M8</f>
        <v>17.8139370321506</v>
      </c>
      <c r="O8" s="29">
        <f t="shared" si="3"/>
        <v>751.4379</v>
      </c>
      <c r="P8" s="29">
        <f t="shared" si="4"/>
        <v>1419.16189</v>
      </c>
      <c r="Q8" s="29">
        <f>SUM(Q12/P12)*P8</f>
        <v>766.5875610917275</v>
      </c>
      <c r="R8" s="29">
        <f>SUM(R12/Q12)*Q8</f>
        <v>652.5743289082727</v>
      </c>
      <c r="S8" s="38">
        <f t="shared" si="5"/>
        <v>0.7197193779679002</v>
      </c>
      <c r="T8" s="38">
        <f t="shared" si="6"/>
        <v>0.9804385113002169</v>
      </c>
    </row>
    <row r="9" spans="1:20" s="2" customFormat="1" ht="18" customHeight="1">
      <c r="A9" s="20" t="s">
        <v>58</v>
      </c>
      <c r="B9" s="28">
        <f t="shared" si="0"/>
        <v>573.44926</v>
      </c>
      <c r="C9" s="29">
        <v>426.264749</v>
      </c>
      <c r="D9" s="29">
        <v>147.184511</v>
      </c>
      <c r="E9" s="29">
        <f>SUM('Начисл.2016'!V8)/1000</f>
        <v>871.75501</v>
      </c>
      <c r="F9" s="29">
        <f>SUM('Начисл.2016'!V7)/1000</f>
        <v>425.54552</v>
      </c>
      <c r="G9" s="29">
        <v>0</v>
      </c>
      <c r="H9" s="29">
        <v>0</v>
      </c>
      <c r="I9" s="29">
        <f t="shared" si="1"/>
        <v>871.75501</v>
      </c>
      <c r="J9" s="29">
        <f t="shared" si="1"/>
        <v>425.54552</v>
      </c>
      <c r="K9" s="29">
        <f>SUM(L9)+'опл. янв.16'!K9</f>
        <v>638.65686</v>
      </c>
      <c r="L9" s="29">
        <v>426.70006</v>
      </c>
      <c r="M9" s="29">
        <f t="shared" si="2"/>
        <v>638.65686</v>
      </c>
      <c r="N9" s="29">
        <f>SUM(N12/M12)*M9</f>
        <v>10.174295699169605</v>
      </c>
      <c r="O9" s="29">
        <f t="shared" si="3"/>
        <v>426.70006</v>
      </c>
      <c r="P9" s="29">
        <f t="shared" si="4"/>
        <v>806.5474099999999</v>
      </c>
      <c r="Q9" s="29">
        <f>SUM(Q12/P12)*P9</f>
        <v>435.67207962211376</v>
      </c>
      <c r="R9" s="29">
        <f>SUM(R12/Q12)*Q9</f>
        <v>370.8753303778862</v>
      </c>
      <c r="S9" s="38">
        <f t="shared" si="5"/>
        <v>0.7326104842230847</v>
      </c>
      <c r="T9" s="38">
        <f t="shared" si="6"/>
        <v>1.002713082257334</v>
      </c>
    </row>
    <row r="10" spans="1:20" s="2" customFormat="1" ht="18" customHeight="1">
      <c r="A10" s="20" t="s">
        <v>59</v>
      </c>
      <c r="B10" s="28">
        <f t="shared" si="0"/>
        <v>0</v>
      </c>
      <c r="C10" s="28">
        <v>0</v>
      </c>
      <c r="D10" s="28">
        <v>0</v>
      </c>
      <c r="E10" s="29">
        <f>SUM('Начисл.2016'!Y8)/1000</f>
        <v>0</v>
      </c>
      <c r="F10" s="29">
        <f>SUM('Начисл.2016'!Y7)/1000</f>
        <v>0</v>
      </c>
      <c r="G10" s="29">
        <v>0</v>
      </c>
      <c r="H10" s="29">
        <v>0</v>
      </c>
      <c r="I10" s="29">
        <f t="shared" si="1"/>
        <v>0</v>
      </c>
      <c r="J10" s="29">
        <f t="shared" si="1"/>
        <v>0</v>
      </c>
      <c r="K10" s="29">
        <f>SUM(L10)+'опл. янв.16'!K10</f>
        <v>0</v>
      </c>
      <c r="L10" s="29">
        <v>0</v>
      </c>
      <c r="M10" s="29">
        <f t="shared" si="2"/>
        <v>0</v>
      </c>
      <c r="N10" s="29">
        <f>SUM(N12/M12)*M10</f>
        <v>0</v>
      </c>
      <c r="O10" s="29">
        <f t="shared" si="3"/>
        <v>0</v>
      </c>
      <c r="P10" s="29">
        <f t="shared" si="4"/>
        <v>0</v>
      </c>
      <c r="Q10" s="29">
        <f>SUM(Q12/P12)*P10</f>
        <v>0</v>
      </c>
      <c r="R10" s="29">
        <f>SUM(P10-Q10)</f>
        <v>0</v>
      </c>
      <c r="S10" s="38">
        <v>0</v>
      </c>
      <c r="T10" s="38">
        <v>0</v>
      </c>
    </row>
    <row r="11" spans="1:20" s="2" customFormat="1" ht="12.75" customHeight="1">
      <c r="A11" s="20" t="s">
        <v>60</v>
      </c>
      <c r="B11" s="29">
        <f t="shared" si="0"/>
        <v>2394.04652</v>
      </c>
      <c r="C11" s="29">
        <v>1779.577916</v>
      </c>
      <c r="D11" s="29">
        <v>614.468604</v>
      </c>
      <c r="E11" s="29">
        <f>SUM('Начисл.2016'!W8)/1000</f>
        <v>9852.555199999999</v>
      </c>
      <c r="F11" s="29">
        <f>SUM('Начисл.2016'!W7)/1000</f>
        <v>4228.27585</v>
      </c>
      <c r="G11" s="29">
        <v>0</v>
      </c>
      <c r="H11" s="29">
        <v>0</v>
      </c>
      <c r="I11" s="29">
        <f t="shared" si="1"/>
        <v>9852.555199999999</v>
      </c>
      <c r="J11" s="29">
        <f t="shared" si="1"/>
        <v>4228.27585</v>
      </c>
      <c r="K11" s="29">
        <f>SUM(L11)+'опл. янв.16'!K11</f>
        <v>6934.202069999999</v>
      </c>
      <c r="L11" s="29">
        <v>4872.96088</v>
      </c>
      <c r="M11" s="29">
        <f t="shared" si="2"/>
        <v>6934.202069999999</v>
      </c>
      <c r="N11" s="29">
        <f>SUM(N12/M12)*M11</f>
        <v>110.46717997826558</v>
      </c>
      <c r="O11" s="29">
        <f t="shared" si="3"/>
        <v>4872.96088</v>
      </c>
      <c r="P11" s="29">
        <f t="shared" si="4"/>
        <v>5312.399649999999</v>
      </c>
      <c r="Q11" s="29">
        <f>SUM(Q12/P12)*P11</f>
        <v>2869.5947375235996</v>
      </c>
      <c r="R11" s="29">
        <f>SUM(R12/Q12)*Q11</f>
        <v>2442.8049124763997</v>
      </c>
      <c r="S11" s="38">
        <f t="shared" si="5"/>
        <v>0.7037973326959894</v>
      </c>
      <c r="T11" s="38">
        <f t="shared" si="6"/>
        <v>1.1524699553365232</v>
      </c>
    </row>
    <row r="12" spans="1:20" s="3" customFormat="1" ht="12.75">
      <c r="A12" s="21" t="s">
        <v>61</v>
      </c>
      <c r="B12" s="26">
        <f>SUM(B6)+B7</f>
        <v>5988.27115</v>
      </c>
      <c r="C12" s="27">
        <f>SUM(C6)+C7</f>
        <v>4451.289898999999</v>
      </c>
      <c r="D12" s="27">
        <f>SUM(D6)+D7</f>
        <v>1536.9812510000002</v>
      </c>
      <c r="E12" s="27">
        <f>SUM('Начисл.2016'!AH8)/1000</f>
        <v>16432.07054</v>
      </c>
      <c r="F12" s="27">
        <f>SUM('Начисл.2016'!AH7)/1000</f>
        <v>7500.74837</v>
      </c>
      <c r="G12" s="27">
        <v>0</v>
      </c>
      <c r="H12" s="27">
        <v>0</v>
      </c>
      <c r="I12" s="27">
        <f t="shared" si="1"/>
        <v>16432.07054</v>
      </c>
      <c r="J12" s="27">
        <f t="shared" si="1"/>
        <v>7500.74837</v>
      </c>
      <c r="K12" s="27">
        <f>SUM('Начисл.2016'!AI8)/1000</f>
        <v>11718.149039999998</v>
      </c>
      <c r="L12" s="27">
        <f>SUM('Начисл.2016'!AI7)/1000</f>
        <v>8076.01559</v>
      </c>
      <c r="M12" s="27">
        <f t="shared" si="2"/>
        <v>11718.149039999998</v>
      </c>
      <c r="N12" s="27">
        <f>SUM(N35)</f>
        <v>186.67914000000002</v>
      </c>
      <c r="O12" s="27">
        <f t="shared" si="3"/>
        <v>8076.01559</v>
      </c>
      <c r="P12" s="27">
        <f t="shared" si="4"/>
        <v>10702.192650000003</v>
      </c>
      <c r="Q12" s="27">
        <f>SUM(Q32)</f>
        <v>5780.99498</v>
      </c>
      <c r="R12" s="27">
        <f>SUM(P12-Q12)</f>
        <v>4921.197670000002</v>
      </c>
      <c r="S12" s="38">
        <f t="shared" si="5"/>
        <v>0.7131267487852445</v>
      </c>
      <c r="T12" s="38">
        <f t="shared" si="6"/>
        <v>1.0766946432039821</v>
      </c>
    </row>
    <row r="14" ht="12.75">
      <c r="A14" t="s">
        <v>34</v>
      </c>
    </row>
    <row r="15" ht="12.75">
      <c r="A15" t="s">
        <v>35</v>
      </c>
    </row>
    <row r="21" ht="12" customHeight="1"/>
    <row r="22" ht="12.75" hidden="1"/>
    <row r="23" ht="12.75" hidden="1"/>
    <row r="24" ht="12.75" hidden="1">
      <c r="N24">
        <f>SUM('опл. янв.16'!N12)</f>
        <v>64.25493</v>
      </c>
    </row>
    <row r="25" ht="12.75" hidden="1">
      <c r="N25" s="36">
        <v>122.42421</v>
      </c>
    </row>
    <row r="26" ht="12.75" hidden="1">
      <c r="N26">
        <v>0</v>
      </c>
    </row>
    <row r="27" ht="12.75" hidden="1">
      <c r="N27">
        <v>0</v>
      </c>
    </row>
    <row r="28" ht="12.75" hidden="1">
      <c r="N28">
        <v>0</v>
      </c>
    </row>
    <row r="29" ht="12.75" hidden="1">
      <c r="N29">
        <v>0</v>
      </c>
    </row>
    <row r="30" ht="12.75" hidden="1">
      <c r="N30">
        <v>0</v>
      </c>
    </row>
    <row r="31" ht="12.75" hidden="1">
      <c r="N31">
        <v>0</v>
      </c>
    </row>
    <row r="32" spans="2:19" ht="12.75" hidden="1">
      <c r="B32">
        <f>SUM(B7,B6)</f>
        <v>5988.27115</v>
      </c>
      <c r="C32" s="36">
        <f>SUM(C7,C6)</f>
        <v>4451.289898999999</v>
      </c>
      <c r="D32">
        <f>SUM(D7,D6)</f>
        <v>1536.9812510000002</v>
      </c>
      <c r="E32" s="30">
        <f>SUM(E8:E11,E6)</f>
        <v>16432.07054</v>
      </c>
      <c r="F32" s="30">
        <f>SUM(F8:F11,F6)</f>
        <v>7500.74837</v>
      </c>
      <c r="G32" s="31">
        <v>0</v>
      </c>
      <c r="H32" s="31">
        <v>0</v>
      </c>
      <c r="I32" s="30">
        <f>SUM(I8:I11,I6)</f>
        <v>16432.07054</v>
      </c>
      <c r="J32" s="30">
        <f>SUM(J8:J11,J6)</f>
        <v>7500.74837</v>
      </c>
      <c r="K32" s="30">
        <f>SUM(K8:K11,K6)</f>
        <v>11718.14904</v>
      </c>
      <c r="L32" s="31">
        <f>SUM('Начисл.2016'!AI6)/1000</f>
        <v>3642.1334500000003</v>
      </c>
      <c r="M32" s="31">
        <f>SUM('Начисл.2016'!AI8)/1000</f>
        <v>11718.149039999998</v>
      </c>
      <c r="N32" s="31">
        <v>0</v>
      </c>
      <c r="O32" s="30">
        <f>SUM('Начисл.2016'!AI7)/1000</f>
        <v>8076.01559</v>
      </c>
      <c r="P32" s="33">
        <f>SUM('Начисл.2016'!AJ7)/1000</f>
        <v>10702.132940000001</v>
      </c>
      <c r="Q32" s="33">
        <f>SUM(T41)/1000</f>
        <v>5780.99498</v>
      </c>
      <c r="R32" s="33">
        <f>SUM(R6,R7)</f>
        <v>4921.197670000002</v>
      </c>
      <c r="S32" s="31"/>
    </row>
    <row r="33" spans="2:18" s="45" customFormat="1" ht="9.75" hidden="1">
      <c r="B33" s="45">
        <f>SUM(B8:B11,B6)</f>
        <v>5988.27115</v>
      </c>
      <c r="C33" s="46">
        <f>SUM(C8:C11,C6)</f>
        <v>4451.289898999999</v>
      </c>
      <c r="D33" s="45">
        <f>SUM(D8:D11,D6)</f>
        <v>1536.9812510000002</v>
      </c>
      <c r="E33" s="47">
        <f>SUM(E32-E12)</f>
        <v>0</v>
      </c>
      <c r="F33" s="47">
        <f>SUM(F32-F12)</f>
        <v>0</v>
      </c>
      <c r="G33" s="45">
        <v>0</v>
      </c>
      <c r="H33" s="45">
        <v>0</v>
      </c>
      <c r="I33" s="47">
        <f>SUM(I12-I32)</f>
        <v>0</v>
      </c>
      <c r="J33" s="47">
        <f aca="true" t="shared" si="7" ref="J33:R33">SUM(J12-J32)</f>
        <v>0</v>
      </c>
      <c r="K33" s="47">
        <f t="shared" si="7"/>
        <v>-1.8189894035458565E-12</v>
      </c>
      <c r="M33" s="47">
        <f t="shared" si="7"/>
        <v>0</v>
      </c>
      <c r="N33" s="45">
        <v>0</v>
      </c>
      <c r="O33" s="47">
        <f t="shared" si="7"/>
        <v>0</v>
      </c>
      <c r="P33" s="46">
        <f>SUM(P7,P6)</f>
        <v>10702.19265</v>
      </c>
      <c r="Q33" s="47">
        <f t="shared" si="7"/>
        <v>0</v>
      </c>
      <c r="R33" s="47">
        <f t="shared" si="7"/>
        <v>0</v>
      </c>
    </row>
    <row r="34" spans="2:19" ht="12.75" hidden="1">
      <c r="B34" s="36">
        <f>SUM(B33-B12)</f>
        <v>0</v>
      </c>
      <c r="C34" s="36">
        <f>SUM(C33-C12)</f>
        <v>0</v>
      </c>
      <c r="D34" s="36">
        <f>SUM(D33-D12)</f>
        <v>0</v>
      </c>
      <c r="E34" s="31"/>
      <c r="F34" s="31"/>
      <c r="G34" s="31"/>
      <c r="H34" s="31"/>
      <c r="I34" s="31"/>
      <c r="J34" s="31"/>
      <c r="K34" s="31"/>
      <c r="L34" s="31">
        <f>SUM(L32-L33)</f>
        <v>3642.1334500000003</v>
      </c>
      <c r="M34" s="31"/>
      <c r="N34" s="31">
        <v>0</v>
      </c>
      <c r="O34" s="31"/>
      <c r="P34" s="33">
        <f>SUM(P32-P33)</f>
        <v>-0.05970999999954074</v>
      </c>
      <c r="Q34" s="33">
        <f>SUM(Q7,Q6)</f>
        <v>5780.99498</v>
      </c>
      <c r="R34" s="31"/>
      <c r="S34" s="31"/>
    </row>
    <row r="35" spans="5:19" ht="12.75" hidden="1">
      <c r="E35" s="31"/>
      <c r="F35" s="31"/>
      <c r="G35" s="31"/>
      <c r="H35" s="31"/>
      <c r="I35" s="31"/>
      <c r="J35" s="31"/>
      <c r="K35" s="31"/>
      <c r="L35" s="31"/>
      <c r="M35" s="31"/>
      <c r="N35" s="31">
        <f>SUM(N23:N34)</f>
        <v>186.67914000000002</v>
      </c>
      <c r="O35" s="31"/>
      <c r="P35" s="31"/>
      <c r="Q35" s="31"/>
      <c r="R35" s="31"/>
      <c r="S35" s="31"/>
    </row>
    <row r="36" spans="5:19" ht="12.75" hidden="1">
      <c r="E36" s="31"/>
      <c r="F36" s="31"/>
      <c r="G36" s="31"/>
      <c r="H36" s="31"/>
      <c r="I36" s="31"/>
      <c r="J36" s="31"/>
      <c r="K36" s="31"/>
      <c r="L36" s="31"/>
      <c r="M36" s="31"/>
      <c r="N36" s="32"/>
      <c r="O36" s="31"/>
      <c r="P36" s="31"/>
      <c r="Q36" s="31"/>
      <c r="R36" s="31"/>
      <c r="S36" s="31"/>
    </row>
    <row r="37" spans="5:19" ht="12.75" hidden="1"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5:19" ht="12.75" hidden="1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ht="12.75" hidden="1"/>
    <row r="40" ht="12.75" hidden="1">
      <c r="T40" s="31" t="s">
        <v>3</v>
      </c>
    </row>
    <row r="41" spans="19:20" ht="12.75" hidden="1">
      <c r="S41">
        <f>SUM(T41:W41)</f>
        <v>5780994.98</v>
      </c>
      <c r="T41" s="31">
        <v>5780994.98</v>
      </c>
    </row>
    <row r="42" ht="12.75" hidden="1">
      <c r="T42">
        <v>998427.99</v>
      </c>
    </row>
    <row r="43" ht="12.75" hidden="1"/>
    <row r="44" ht="12.75" hidden="1"/>
  </sheetData>
  <sheetProtection/>
  <mergeCells count="25">
    <mergeCell ref="Q4:R4"/>
    <mergeCell ref="S4:S5"/>
    <mergeCell ref="T4:T5"/>
    <mergeCell ref="L4:L5"/>
    <mergeCell ref="M4:N4"/>
    <mergeCell ref="O4:O5"/>
    <mergeCell ref="P4:P5"/>
    <mergeCell ref="M3:O3"/>
    <mergeCell ref="P3:R3"/>
    <mergeCell ref="S3:T3"/>
    <mergeCell ref="B4:B5"/>
    <mergeCell ref="C4:D4"/>
    <mergeCell ref="E4:E5"/>
    <mergeCell ref="F4:F5"/>
    <mergeCell ref="G4:G5"/>
    <mergeCell ref="H4:H5"/>
    <mergeCell ref="I4:I5"/>
    <mergeCell ref="A3:A5"/>
    <mergeCell ref="B3:D3"/>
    <mergeCell ref="E3:F3"/>
    <mergeCell ref="G3:H3"/>
    <mergeCell ref="I3:J3"/>
    <mergeCell ref="K3:L3"/>
    <mergeCell ref="J4:J5"/>
    <mergeCell ref="K4:K5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22">
      <selection activeCell="T46" sqref="T46"/>
    </sheetView>
  </sheetViews>
  <sheetFormatPr defaultColWidth="9.140625" defaultRowHeight="12.75"/>
  <cols>
    <col min="1" max="1" width="21.7109375" style="0" customWidth="1"/>
    <col min="2" max="4" width="7.00390625" style="0" customWidth="1"/>
    <col min="5" max="5" width="7.57421875" style="0" customWidth="1"/>
    <col min="6" max="6" width="7.421875" style="0" customWidth="1"/>
    <col min="7" max="7" width="5.140625" style="0" hidden="1" customWidth="1"/>
    <col min="8" max="8" width="4.8515625" style="0" hidden="1" customWidth="1"/>
    <col min="9" max="9" width="8.140625" style="0" customWidth="1"/>
    <col min="10" max="10" width="6.8515625" style="0" customWidth="1"/>
    <col min="11" max="11" width="7.8515625" style="0" customWidth="1"/>
    <col min="12" max="12" width="7.28125" style="0" customWidth="1"/>
    <col min="13" max="13" width="7.7109375" style="0" customWidth="1"/>
    <col min="14" max="14" width="8.28125" style="0" customWidth="1"/>
    <col min="15" max="15" width="7.421875" style="0" customWidth="1"/>
    <col min="16" max="16" width="7.00390625" style="0" customWidth="1"/>
    <col min="17" max="17" width="6.140625" style="0" customWidth="1"/>
    <col min="18" max="18" width="6.8515625" style="0" customWidth="1"/>
    <col min="19" max="19" width="7.421875" style="0" customWidth="1"/>
    <col min="20" max="20" width="6.8515625" style="0" customWidth="1"/>
  </cols>
  <sheetData>
    <row r="1" spans="1:20" s="48" customFormat="1" ht="12.75">
      <c r="A1" s="109" t="s">
        <v>109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3" spans="1:20" s="2" customFormat="1" ht="77.25" customHeight="1">
      <c r="A3" s="107" t="s">
        <v>40</v>
      </c>
      <c r="B3" s="107" t="s">
        <v>41</v>
      </c>
      <c r="C3" s="107"/>
      <c r="D3" s="107"/>
      <c r="E3" s="107" t="s">
        <v>42</v>
      </c>
      <c r="F3" s="107"/>
      <c r="G3" s="107" t="s">
        <v>43</v>
      </c>
      <c r="H3" s="107"/>
      <c r="I3" s="107" t="s">
        <v>44</v>
      </c>
      <c r="J3" s="107"/>
      <c r="K3" s="107" t="s">
        <v>45</v>
      </c>
      <c r="L3" s="107"/>
      <c r="M3" s="107" t="s">
        <v>46</v>
      </c>
      <c r="N3" s="107"/>
      <c r="O3" s="107"/>
      <c r="P3" s="107" t="s">
        <v>47</v>
      </c>
      <c r="Q3" s="107"/>
      <c r="R3" s="107"/>
      <c r="S3" s="107" t="s">
        <v>64</v>
      </c>
      <c r="T3" s="107"/>
    </row>
    <row r="4" spans="1:20" s="2" customFormat="1" ht="28.5" customHeight="1">
      <c r="A4" s="107"/>
      <c r="B4" s="107" t="s">
        <v>33</v>
      </c>
      <c r="C4" s="107" t="s">
        <v>15</v>
      </c>
      <c r="D4" s="107"/>
      <c r="E4" s="108" t="s">
        <v>48</v>
      </c>
      <c r="F4" s="108" t="s">
        <v>49</v>
      </c>
      <c r="G4" s="108" t="s">
        <v>48</v>
      </c>
      <c r="H4" s="108" t="s">
        <v>49</v>
      </c>
      <c r="I4" s="108" t="s">
        <v>48</v>
      </c>
      <c r="J4" s="108" t="s">
        <v>49</v>
      </c>
      <c r="K4" s="108" t="s">
        <v>48</v>
      </c>
      <c r="L4" s="108" t="s">
        <v>49</v>
      </c>
      <c r="M4" s="107" t="s">
        <v>50</v>
      </c>
      <c r="N4" s="107"/>
      <c r="O4" s="108" t="s">
        <v>51</v>
      </c>
      <c r="P4" s="107" t="s">
        <v>33</v>
      </c>
      <c r="Q4" s="107" t="s">
        <v>15</v>
      </c>
      <c r="R4" s="107"/>
      <c r="S4" s="108" t="s">
        <v>62</v>
      </c>
      <c r="T4" s="108" t="s">
        <v>63</v>
      </c>
    </row>
    <row r="5" spans="1:20" s="2" customFormat="1" ht="103.5" customHeight="1">
      <c r="A5" s="107"/>
      <c r="B5" s="107"/>
      <c r="C5" s="22" t="s">
        <v>52</v>
      </c>
      <c r="D5" s="22" t="s">
        <v>53</v>
      </c>
      <c r="E5" s="108"/>
      <c r="F5" s="108"/>
      <c r="G5" s="108"/>
      <c r="H5" s="108"/>
      <c r="I5" s="108"/>
      <c r="J5" s="108"/>
      <c r="K5" s="108"/>
      <c r="L5" s="108"/>
      <c r="M5" s="1" t="s">
        <v>33</v>
      </c>
      <c r="N5" s="23" t="s">
        <v>54</v>
      </c>
      <c r="O5" s="108"/>
      <c r="P5" s="107"/>
      <c r="Q5" s="22" t="s">
        <v>52</v>
      </c>
      <c r="R5" s="22" t="s">
        <v>53</v>
      </c>
      <c r="S5" s="108"/>
      <c r="T5" s="108"/>
    </row>
    <row r="6" spans="1:20" s="3" customFormat="1" ht="24.75" customHeight="1">
      <c r="A6" s="21" t="s">
        <v>55</v>
      </c>
      <c r="B6" s="26">
        <f aca="true" t="shared" si="0" ref="B6:B11">SUM(C6:D6)</f>
        <v>2037.0782399999998</v>
      </c>
      <c r="C6" s="26">
        <v>1514.230997</v>
      </c>
      <c r="D6" s="27">
        <v>522.847243</v>
      </c>
      <c r="E6" s="27">
        <f>SUM(E13-E7)</f>
        <v>21417.60299</v>
      </c>
      <c r="F6" s="27">
        <f>SUM(F13-F7)</f>
        <v>2209.95006</v>
      </c>
      <c r="G6" s="27">
        <v>0</v>
      </c>
      <c r="H6" s="27">
        <v>0</v>
      </c>
      <c r="I6" s="27">
        <f aca="true" t="shared" si="1" ref="I6:J13">SUM(E6-G6)</f>
        <v>21417.60299</v>
      </c>
      <c r="J6" s="27">
        <f t="shared" si="1"/>
        <v>2209.95006</v>
      </c>
      <c r="K6" s="27">
        <f>SUM(K13-K7)</f>
        <v>20577.64956</v>
      </c>
      <c r="L6" s="27">
        <f>SUM(L13-L7)</f>
        <v>2255.747299999999</v>
      </c>
      <c r="M6" s="27">
        <f aca="true" t="shared" si="2" ref="M6:M13">SUM(K6)</f>
        <v>20577.64956</v>
      </c>
      <c r="N6" s="27">
        <f>SUM(N13-N7)</f>
        <v>400.1773193807553</v>
      </c>
      <c r="O6" s="27">
        <f aca="true" t="shared" si="3" ref="O6:O13">SUM(L6)</f>
        <v>2255.747299999999</v>
      </c>
      <c r="P6" s="27">
        <f aca="true" t="shared" si="4" ref="P6:P13">SUM(B6+E6-K6)</f>
        <v>2877.0316699999967</v>
      </c>
      <c r="Q6" s="27">
        <f>SUM(Q13-Q7)</f>
        <v>2209.7840163532355</v>
      </c>
      <c r="R6" s="27">
        <f>SUM(R13-R7)</f>
        <v>667.2476536467595</v>
      </c>
      <c r="S6" s="38">
        <f>SUM((K6)/(E6))</f>
        <v>0.9607820991736481</v>
      </c>
      <c r="T6" s="38">
        <f>SUM((L6/J6))</f>
        <v>1.0207232013197616</v>
      </c>
    </row>
    <row r="7" spans="1:22" s="3" customFormat="1" ht="41.25" customHeight="1">
      <c r="A7" s="21" t="s">
        <v>56</v>
      </c>
      <c r="B7" s="26">
        <f t="shared" si="0"/>
        <v>3951.1929099999998</v>
      </c>
      <c r="C7" s="27">
        <f>SUM(C8:C12)</f>
        <v>2937.0589019999998</v>
      </c>
      <c r="D7" s="27">
        <f>SUM(D8:D12)</f>
        <v>1014.134008</v>
      </c>
      <c r="E7" s="27">
        <f>SUM(E8:E12)</f>
        <v>31741.378129999997</v>
      </c>
      <c r="F7" s="27">
        <f>SUM(F8:F12)</f>
        <v>4050.2517</v>
      </c>
      <c r="G7" s="27">
        <v>0</v>
      </c>
      <c r="H7" s="27">
        <v>0</v>
      </c>
      <c r="I7" s="27">
        <f t="shared" si="1"/>
        <v>31741.378129999997</v>
      </c>
      <c r="J7" s="27">
        <f t="shared" si="1"/>
        <v>4050.2517</v>
      </c>
      <c r="K7" s="27">
        <f>SUM(K8:K12)</f>
        <v>30787.59153</v>
      </c>
      <c r="L7" s="27">
        <f>SUM(L8:L12)</f>
        <v>2728.2882600000003</v>
      </c>
      <c r="M7" s="27">
        <f t="shared" si="2"/>
        <v>30787.59153</v>
      </c>
      <c r="N7" s="27">
        <f>SUM(N13/M13)*M7</f>
        <v>598.7319306192446</v>
      </c>
      <c r="O7" s="27">
        <f t="shared" si="3"/>
        <v>2728.2882600000003</v>
      </c>
      <c r="P7" s="27">
        <f t="shared" si="4"/>
        <v>4904.979509999994</v>
      </c>
      <c r="Q7" s="27">
        <f>SUM(Q8:Q12)</f>
        <v>3767.4056336467584</v>
      </c>
      <c r="R7" s="27">
        <f>SUM(R8:R12)</f>
        <v>1137.5738763532404</v>
      </c>
      <c r="S7" s="38">
        <f aca="true" t="shared" si="5" ref="S7:S13">SUM((K7)/(E7))</f>
        <v>0.969951317296506</v>
      </c>
      <c r="T7" s="38">
        <f aca="true" t="shared" si="6" ref="T7:T13">SUM((L7/J7))</f>
        <v>0.6736095586355783</v>
      </c>
      <c r="V7" s="100"/>
    </row>
    <row r="8" spans="1:20" s="2" customFormat="1" ht="24.75" customHeight="1">
      <c r="A8" s="20" t="s">
        <v>57</v>
      </c>
      <c r="B8" s="28">
        <f t="shared" si="0"/>
        <v>983.69713</v>
      </c>
      <c r="C8" s="29">
        <v>731.216237</v>
      </c>
      <c r="D8" s="29">
        <v>252.480893</v>
      </c>
      <c r="E8" s="29">
        <f>SUM('Начисл.2016'!U24)/1000</f>
        <v>8195.22454</v>
      </c>
      <c r="F8" s="29">
        <f>SUM('Начисл.2016'!U23)/1000</f>
        <v>922.11488</v>
      </c>
      <c r="G8" s="29">
        <v>0</v>
      </c>
      <c r="H8" s="29">
        <v>0</v>
      </c>
      <c r="I8" s="29">
        <f t="shared" si="1"/>
        <v>8195.22454</v>
      </c>
      <c r="J8" s="29">
        <f t="shared" si="1"/>
        <v>922.11488</v>
      </c>
      <c r="K8" s="29">
        <f>SUM(L8)+'опл. сентяб.'!K8</f>
        <v>7773.72162</v>
      </c>
      <c r="L8" s="29">
        <v>935.68806</v>
      </c>
      <c r="M8" s="29">
        <f t="shared" si="2"/>
        <v>7773.72162</v>
      </c>
      <c r="N8" s="29">
        <f>SUM(N13/M13)*M8</f>
        <v>151.17698794671392</v>
      </c>
      <c r="O8" s="29">
        <f t="shared" si="3"/>
        <v>935.68806</v>
      </c>
      <c r="P8" s="29">
        <f t="shared" si="4"/>
        <v>1405.2000499999995</v>
      </c>
      <c r="Q8" s="29">
        <f>SUM(Q13/P13)*P8</f>
        <v>1079.3028949412892</v>
      </c>
      <c r="R8" s="29">
        <f>SUM(R13/Q13)*Q8</f>
        <v>325.8971550587104</v>
      </c>
      <c r="S8" s="38">
        <f t="shared" si="5"/>
        <v>0.948567251825415</v>
      </c>
      <c r="T8" s="38">
        <f t="shared" si="6"/>
        <v>1.0147196193168468</v>
      </c>
    </row>
    <row r="9" spans="1:20" s="2" customFormat="1" ht="21.75" customHeight="1">
      <c r="A9" s="20" t="s">
        <v>58</v>
      </c>
      <c r="B9" s="28">
        <f t="shared" si="0"/>
        <v>573.44926</v>
      </c>
      <c r="C9" s="29">
        <v>426.264749</v>
      </c>
      <c r="D9" s="29">
        <v>147.184511</v>
      </c>
      <c r="E9" s="29">
        <f>SUM('Начисл.2016'!V24)/1000</f>
        <v>4514.18279</v>
      </c>
      <c r="F9" s="29">
        <f>SUM('Начисл.2016'!V23)/1000</f>
        <v>462.62162</v>
      </c>
      <c r="G9" s="29">
        <v>0</v>
      </c>
      <c r="H9" s="29">
        <v>0</v>
      </c>
      <c r="I9" s="29">
        <f t="shared" si="1"/>
        <v>4514.18279</v>
      </c>
      <c r="J9" s="29">
        <f t="shared" si="1"/>
        <v>462.62162</v>
      </c>
      <c r="K9" s="29">
        <f>SUM(L9)+'опл. сентяб.'!K9</f>
        <v>4329.39412</v>
      </c>
      <c r="L9" s="29">
        <v>483.97123</v>
      </c>
      <c r="M9" s="29">
        <f t="shared" si="2"/>
        <v>4329.39412</v>
      </c>
      <c r="N9" s="29">
        <f>SUM(N13/M13)*M9</f>
        <v>84.19452029410516</v>
      </c>
      <c r="O9" s="29">
        <f t="shared" si="3"/>
        <v>483.97123</v>
      </c>
      <c r="P9" s="29">
        <f t="shared" si="4"/>
        <v>758.2379300000002</v>
      </c>
      <c r="Q9" s="29">
        <f>SUM(Q13/P13)*P9</f>
        <v>582.385684446347</v>
      </c>
      <c r="R9" s="29">
        <f>SUM(R13/Q13)*Q9</f>
        <v>175.85224555365318</v>
      </c>
      <c r="S9" s="38">
        <f t="shared" si="5"/>
        <v>0.9590648676413035</v>
      </c>
      <c r="T9" s="38">
        <f t="shared" si="6"/>
        <v>1.0461491834298622</v>
      </c>
    </row>
    <row r="10" spans="1:20" s="2" customFormat="1" ht="20.25" customHeight="1">
      <c r="A10" s="20" t="s">
        <v>59</v>
      </c>
      <c r="B10" s="29">
        <f t="shared" si="0"/>
        <v>0</v>
      </c>
      <c r="C10" s="29">
        <v>0</v>
      </c>
      <c r="D10" s="29">
        <v>0</v>
      </c>
      <c r="E10" s="29">
        <f>SUM('Начисл.2016'!Y24)/1000</f>
        <v>0</v>
      </c>
      <c r="F10" s="29">
        <f>SUM('Начисл.2016'!Y23)/1000</f>
        <v>0</v>
      </c>
      <c r="G10" s="29">
        <v>0</v>
      </c>
      <c r="H10" s="29">
        <v>0</v>
      </c>
      <c r="I10" s="29">
        <f t="shared" si="1"/>
        <v>0</v>
      </c>
      <c r="J10" s="29">
        <f t="shared" si="1"/>
        <v>0</v>
      </c>
      <c r="K10" s="29">
        <f>SUM(L10)+'опл. сентяб.'!K10</f>
        <v>0</v>
      </c>
      <c r="L10" s="29">
        <v>0</v>
      </c>
      <c r="M10" s="29">
        <f t="shared" si="2"/>
        <v>0</v>
      </c>
      <c r="N10" s="29">
        <f>SUM(N13/M13)*M10</f>
        <v>0</v>
      </c>
      <c r="O10" s="29">
        <f t="shared" si="3"/>
        <v>0</v>
      </c>
      <c r="P10" s="29">
        <f t="shared" si="4"/>
        <v>0</v>
      </c>
      <c r="Q10" s="29">
        <f>SUM(Q13/P13)*P10</f>
        <v>0</v>
      </c>
      <c r="R10" s="29">
        <f>SUM(P10-Q10)</f>
        <v>0</v>
      </c>
      <c r="S10" s="38">
        <v>0</v>
      </c>
      <c r="T10" s="38">
        <v>0</v>
      </c>
    </row>
    <row r="11" spans="1:20" s="2" customFormat="1" ht="21" customHeight="1">
      <c r="A11" s="20" t="s">
        <v>60</v>
      </c>
      <c r="B11" s="29">
        <f t="shared" si="0"/>
        <v>2394.04652</v>
      </c>
      <c r="C11" s="29">
        <v>1779.577916</v>
      </c>
      <c r="D11" s="29">
        <v>614.468604</v>
      </c>
      <c r="E11" s="29">
        <f>SUM('Начисл.2016'!W24)/1000</f>
        <v>18571.25087</v>
      </c>
      <c r="F11" s="29">
        <f>SUM('Начисл.2016'!W23)/1000</f>
        <v>2598.7232599999998</v>
      </c>
      <c r="G11" s="29">
        <v>0</v>
      </c>
      <c r="H11" s="29">
        <v>0</v>
      </c>
      <c r="I11" s="29">
        <f t="shared" si="1"/>
        <v>18571.25087</v>
      </c>
      <c r="J11" s="29">
        <f t="shared" si="1"/>
        <v>2598.7232599999998</v>
      </c>
      <c r="K11" s="29">
        <f>SUM(L11)+'опл. сентяб.'!K11</f>
        <v>18282.31089</v>
      </c>
      <c r="L11" s="29">
        <v>1242.46407</v>
      </c>
      <c r="M11" s="29">
        <f t="shared" si="2"/>
        <v>18282.31089</v>
      </c>
      <c r="N11" s="29">
        <f>SUM(N13/M13)*M11</f>
        <v>355.539447919619</v>
      </c>
      <c r="O11" s="29">
        <f t="shared" si="3"/>
        <v>1242.46407</v>
      </c>
      <c r="P11" s="29">
        <f t="shared" si="4"/>
        <v>2682.986499999999</v>
      </c>
      <c r="Q11" s="29">
        <f>SUM(Q13/P13)*P11</f>
        <v>2060.7422384723063</v>
      </c>
      <c r="R11" s="29">
        <f>SUM(R13/Q13)*Q11</f>
        <v>622.2442615276924</v>
      </c>
      <c r="S11" s="38">
        <f t="shared" si="5"/>
        <v>0.9844415445129358</v>
      </c>
      <c r="T11" s="38">
        <f t="shared" si="6"/>
        <v>0.4781055717337136</v>
      </c>
    </row>
    <row r="12" spans="1:20" s="2" customFormat="1" ht="21" customHeight="1">
      <c r="A12" s="20" t="s">
        <v>115</v>
      </c>
      <c r="B12" s="29">
        <v>0</v>
      </c>
      <c r="C12" s="29">
        <v>0</v>
      </c>
      <c r="D12" s="29">
        <v>0</v>
      </c>
      <c r="E12" s="29">
        <f>SUM('Начисл.2016'!Z24)/1000</f>
        <v>460.71993</v>
      </c>
      <c r="F12" s="29">
        <f>SUM('Начисл.2016'!Z23)/1000</f>
        <v>66.79194</v>
      </c>
      <c r="G12" s="29"/>
      <c r="H12" s="29"/>
      <c r="I12" s="29">
        <f>SUM(E12-G12)</f>
        <v>460.71993</v>
      </c>
      <c r="J12" s="29">
        <f>SUM(F12-H12)</f>
        <v>66.79194</v>
      </c>
      <c r="K12" s="29">
        <f>SUM(L12)+336</f>
        <v>402.1649</v>
      </c>
      <c r="L12" s="29">
        <v>66.1649</v>
      </c>
      <c r="M12" s="29">
        <f>SUM(K12)</f>
        <v>402.1649</v>
      </c>
      <c r="N12" s="29">
        <f>SUM(N13/M13)*M12</f>
        <v>7.820974458806438</v>
      </c>
      <c r="O12" s="29">
        <f>SUM(L12)</f>
        <v>66.1649</v>
      </c>
      <c r="P12" s="29">
        <f>SUM(B12+E12-K12)</f>
        <v>58.55502999999999</v>
      </c>
      <c r="Q12" s="29">
        <f>SUM(Q13/P13)*P12</f>
        <v>44.97481578681558</v>
      </c>
      <c r="R12" s="29">
        <f>SUM(R13/Q13)*Q12</f>
        <v>13.580214213184407</v>
      </c>
      <c r="S12" s="38">
        <f>SUM((K12)/(E12))</f>
        <v>0.8729053679097407</v>
      </c>
      <c r="T12" s="38">
        <f>SUM((L12/J12))</f>
        <v>0.9906120409139187</v>
      </c>
    </row>
    <row r="13" spans="1:20" s="3" customFormat="1" ht="24" customHeight="1">
      <c r="A13" s="21" t="s">
        <v>61</v>
      </c>
      <c r="B13" s="26">
        <f>SUM(B6)+B7</f>
        <v>5988.27115</v>
      </c>
      <c r="C13" s="27">
        <f>SUM(C6)+C7</f>
        <v>4451.289898999999</v>
      </c>
      <c r="D13" s="27">
        <f>SUM(D6)+D7</f>
        <v>1536.9812510000002</v>
      </c>
      <c r="E13" s="27">
        <f>SUM('Начисл.2016'!AH24)/1000</f>
        <v>53158.98112</v>
      </c>
      <c r="F13" s="27">
        <f>SUM('Начисл.2016'!AH23)/1000</f>
        <v>6260.20176</v>
      </c>
      <c r="G13" s="27">
        <v>0</v>
      </c>
      <c r="H13" s="27">
        <v>0</v>
      </c>
      <c r="I13" s="27">
        <f t="shared" si="1"/>
        <v>53158.98112</v>
      </c>
      <c r="J13" s="27">
        <f t="shared" si="1"/>
        <v>6260.20176</v>
      </c>
      <c r="K13" s="27">
        <f>SUM('Начисл.2016'!AI24)/1000</f>
        <v>51365.24109</v>
      </c>
      <c r="L13" s="53">
        <f>SUM('Начисл.2016'!AI23)/1000</f>
        <v>4984.035559999999</v>
      </c>
      <c r="M13" s="27">
        <f t="shared" si="2"/>
        <v>51365.24109</v>
      </c>
      <c r="N13" s="27">
        <f>SUM(N39)</f>
        <v>998.9092499999999</v>
      </c>
      <c r="O13" s="27">
        <f t="shared" si="3"/>
        <v>4984.035559999999</v>
      </c>
      <c r="P13" s="27">
        <f t="shared" si="4"/>
        <v>7782.011179999994</v>
      </c>
      <c r="Q13" s="27">
        <f>SUM(P13-R13)</f>
        <v>5977.189649999994</v>
      </c>
      <c r="R13" s="27">
        <f>SUM(T46)/1000</f>
        <v>1804.82153</v>
      </c>
      <c r="S13" s="38">
        <f t="shared" si="5"/>
        <v>0.9662570652746176</v>
      </c>
      <c r="T13" s="38">
        <f t="shared" si="6"/>
        <v>0.7961461548804778</v>
      </c>
    </row>
    <row r="14" spans="1:20" s="3" customFormat="1" ht="24" customHeight="1">
      <c r="A14" s="49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  <c r="T14" s="52"/>
    </row>
    <row r="15" spans="1:20" s="3" customFormat="1" ht="24" customHeight="1">
      <c r="A15" s="49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2"/>
      <c r="T15" s="52"/>
    </row>
    <row r="17" ht="12.75">
      <c r="A17" t="s">
        <v>34</v>
      </c>
    </row>
    <row r="18" ht="12.75">
      <c r="A18" t="s">
        <v>35</v>
      </c>
    </row>
    <row r="25" ht="12.75" hidden="1"/>
    <row r="26" ht="12.75" hidden="1"/>
    <row r="27" ht="12.75" hidden="1">
      <c r="N27">
        <f>SUM('опл. сентяб.'!N26)</f>
        <v>64.25493</v>
      </c>
    </row>
    <row r="28" ht="12.75" hidden="1">
      <c r="N28">
        <f>SUM('опл. сентяб.'!N27)</f>
        <v>122.42421</v>
      </c>
    </row>
    <row r="29" ht="12.75" hidden="1">
      <c r="N29">
        <f>SUM('опл. сентяб.'!N28)</f>
        <v>191.12239</v>
      </c>
    </row>
    <row r="30" ht="12.75" hidden="1">
      <c r="N30">
        <f>SUM('опл. сентяб.'!N29)</f>
        <v>224.8662</v>
      </c>
    </row>
    <row r="31" ht="12.75" hidden="1">
      <c r="N31">
        <f>SUM('опл. сентяб.'!N30)</f>
        <v>123.86081</v>
      </c>
    </row>
    <row r="32" ht="12.75" hidden="1">
      <c r="N32">
        <f>SUM('опл. сентяб.'!N31)</f>
        <v>59.06443</v>
      </c>
    </row>
    <row r="33" ht="12.75" hidden="1">
      <c r="N33">
        <f>SUM('опл. сентяб.'!N32)</f>
        <v>33.96069</v>
      </c>
    </row>
    <row r="34" ht="12.75" hidden="1">
      <c r="N34">
        <f>SUM('опл. сентяб.'!N33)</f>
        <v>64.22679</v>
      </c>
    </row>
    <row r="35" spans="2:19" ht="12.75" hidden="1">
      <c r="B35">
        <f>SUM(B7,B6)</f>
        <v>5988.27115</v>
      </c>
      <c r="C35" s="36">
        <f>SUM(C7,C6)</f>
        <v>4451.289898999999</v>
      </c>
      <c r="D35">
        <f>SUM(D7,D6)</f>
        <v>1536.9812510000002</v>
      </c>
      <c r="E35" s="30">
        <f>SUM(E8:E11,E6)</f>
        <v>52698.26119</v>
      </c>
      <c r="F35" s="30">
        <f>SUM(F8:F11,F6)</f>
        <v>6193.40982</v>
      </c>
      <c r="G35" s="31">
        <v>0</v>
      </c>
      <c r="H35" s="31">
        <v>0</v>
      </c>
      <c r="I35" s="30">
        <f>SUM(I8:I11,I6)</f>
        <v>52698.26119</v>
      </c>
      <c r="J35" s="30">
        <f>SUM(J8:J11,J6)</f>
        <v>6193.40982</v>
      </c>
      <c r="K35" s="30">
        <f>SUM(K8:K11,K6)</f>
        <v>50963.07619000001</v>
      </c>
      <c r="L35" s="30">
        <f>SUM(L8:L11,L6)</f>
        <v>4917.870659999999</v>
      </c>
      <c r="M35" s="31">
        <f>SUM('Начисл.2016'!AI24)/1000</f>
        <v>51365.24109</v>
      </c>
      <c r="N35">
        <f>SUM('опл. сентяб.'!N34)</f>
        <v>115.1288</v>
      </c>
      <c r="O35" s="31">
        <f>SUM('Начисл.2016'!AI23)/1000</f>
        <v>4984.035559999999</v>
      </c>
      <c r="P35" s="33">
        <f>SUM('Начисл.2016'!AJ24)/1000</f>
        <v>7781.951469999992</v>
      </c>
      <c r="Q35" s="33">
        <f>SUM(T45)/1000</f>
        <v>5031.910059999999</v>
      </c>
      <c r="R35" s="30">
        <f>SUM(R8:R11,R6)</f>
        <v>1791.2413157868154</v>
      </c>
      <c r="S35" s="31"/>
    </row>
    <row r="36" spans="2:19" ht="12.75" hidden="1">
      <c r="B36">
        <f>SUM(B8:B11,B6)</f>
        <v>5988.27115</v>
      </c>
      <c r="C36" s="36">
        <f>SUM(C8:C11,C6)</f>
        <v>4451.289898999999</v>
      </c>
      <c r="D36">
        <f>SUM(D8:D11,D6)</f>
        <v>1536.9812510000002</v>
      </c>
      <c r="E36" s="30">
        <f>SUM(E35-E13)</f>
        <v>-460.7199299999993</v>
      </c>
      <c r="F36" s="30">
        <f>SUM(F35-F13)</f>
        <v>-66.79194000000007</v>
      </c>
      <c r="G36" s="31">
        <v>0</v>
      </c>
      <c r="H36" s="31">
        <v>0</v>
      </c>
      <c r="I36" s="30">
        <f>SUM(I13-I35)</f>
        <v>460.7199299999993</v>
      </c>
      <c r="J36" s="30">
        <f aca="true" t="shared" si="7" ref="J36:R36">SUM(J13-J35)</f>
        <v>66.79194000000007</v>
      </c>
      <c r="K36" s="30">
        <f t="shared" si="7"/>
        <v>402.1648999999961</v>
      </c>
      <c r="L36" s="30">
        <f>SUM(L13-L35)</f>
        <v>66.16490000000067</v>
      </c>
      <c r="M36" s="30">
        <f t="shared" si="7"/>
        <v>0</v>
      </c>
      <c r="N36" s="31"/>
      <c r="O36" s="30">
        <f t="shared" si="7"/>
        <v>0</v>
      </c>
      <c r="P36" s="33">
        <f>SUM(P7,P6)</f>
        <v>7782.01117999999</v>
      </c>
      <c r="Q36" s="30">
        <f t="shared" si="7"/>
        <v>945.2795899999946</v>
      </c>
      <c r="R36" s="30">
        <f t="shared" si="7"/>
        <v>13.58021421318449</v>
      </c>
      <c r="S36" s="31"/>
    </row>
    <row r="37" spans="5:19" ht="12.75" hidden="1">
      <c r="E37" s="31"/>
      <c r="F37" s="31"/>
      <c r="G37" s="31"/>
      <c r="H37" s="31"/>
      <c r="I37" s="31"/>
      <c r="J37" s="31"/>
      <c r="K37" s="31"/>
      <c r="L37" s="31">
        <f>SUM(L35-L36)</f>
        <v>4851.705759999998</v>
      </c>
      <c r="M37" s="31"/>
      <c r="N37" s="31">
        <v>0</v>
      </c>
      <c r="O37" s="31"/>
      <c r="P37" s="33">
        <f>SUM(P35-P36)</f>
        <v>-0.05970999999863125</v>
      </c>
      <c r="Q37" s="33">
        <f>SUM(Q7,Q6)</f>
        <v>5977.189649999994</v>
      </c>
      <c r="R37" s="31"/>
      <c r="S37" s="31"/>
    </row>
    <row r="38" spans="5:19" ht="12.75" hidden="1">
      <c r="E38" s="31"/>
      <c r="F38" s="31"/>
      <c r="G38" s="31"/>
      <c r="H38" s="31"/>
      <c r="I38" s="31"/>
      <c r="J38" s="31"/>
      <c r="K38" s="31"/>
      <c r="L38" s="31"/>
      <c r="M38" s="31"/>
      <c r="N38" s="31">
        <v>0</v>
      </c>
      <c r="O38" s="31"/>
      <c r="P38" s="33"/>
      <c r="Q38" s="33"/>
      <c r="R38" s="31"/>
      <c r="S38" s="31"/>
    </row>
    <row r="39" spans="5:19" ht="12.75" hidden="1">
      <c r="E39" s="31"/>
      <c r="F39" s="31"/>
      <c r="G39" s="31"/>
      <c r="H39" s="31"/>
      <c r="I39" s="31"/>
      <c r="J39" s="31"/>
      <c r="K39" s="31"/>
      <c r="L39" s="31"/>
      <c r="M39" s="31"/>
      <c r="N39" s="31">
        <f>SUM(N26:N38)</f>
        <v>998.9092499999999</v>
      </c>
      <c r="O39" s="31"/>
      <c r="P39" s="31"/>
      <c r="Q39" s="31"/>
      <c r="R39" s="31"/>
      <c r="S39" s="31"/>
    </row>
    <row r="40" spans="5:19" ht="12.75" hidden="1">
      <c r="E40" s="31"/>
      <c r="F40" s="31"/>
      <c r="G40" s="31"/>
      <c r="H40" s="31"/>
      <c r="I40" s="31"/>
      <c r="J40" s="31"/>
      <c r="K40" s="31"/>
      <c r="L40" s="31"/>
      <c r="M40" s="31"/>
      <c r="N40" s="32"/>
      <c r="O40" s="31"/>
      <c r="P40" s="31"/>
      <c r="Q40" s="31"/>
      <c r="R40" s="31"/>
      <c r="S40" s="31"/>
    </row>
    <row r="41" spans="5:19" ht="12.75" hidden="1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5:19" ht="12.75" hidden="1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ht="12.75" hidden="1"/>
    <row r="44" ht="12.75" hidden="1">
      <c r="T44" s="31" t="s">
        <v>3</v>
      </c>
    </row>
    <row r="45" spans="19:20" ht="12.75" hidden="1">
      <c r="S45">
        <f>SUM(T45:W45)</f>
        <v>5031910.06</v>
      </c>
      <c r="T45" s="46">
        <v>5031910.06</v>
      </c>
    </row>
    <row r="46" spans="20:21" ht="12.75" hidden="1">
      <c r="T46" s="95">
        <v>1804821.53</v>
      </c>
      <c r="U46" t="s">
        <v>92</v>
      </c>
    </row>
    <row r="47" ht="12.75" hidden="1"/>
    <row r="48" ht="12.75" hidden="1"/>
    <row r="49" ht="12.75" hidden="1"/>
  </sheetData>
  <sheetProtection/>
  <mergeCells count="26">
    <mergeCell ref="A1:T1"/>
    <mergeCell ref="A3:A5"/>
    <mergeCell ref="B3:D3"/>
    <mergeCell ref="E3:F3"/>
    <mergeCell ref="G3:H3"/>
    <mergeCell ref="I3:J3"/>
    <mergeCell ref="K3:L3"/>
    <mergeCell ref="M3:O3"/>
    <mergeCell ref="P3:R3"/>
    <mergeCell ref="S3:T3"/>
    <mergeCell ref="B4:B5"/>
    <mergeCell ref="C4:D4"/>
    <mergeCell ref="E4:E5"/>
    <mergeCell ref="F4:F5"/>
    <mergeCell ref="G4:G5"/>
    <mergeCell ref="H4:H5"/>
    <mergeCell ref="P4:P5"/>
    <mergeCell ref="Q4:R4"/>
    <mergeCell ref="S4:S5"/>
    <mergeCell ref="T4:T5"/>
    <mergeCell ref="I4:I5"/>
    <mergeCell ref="J4:J5"/>
    <mergeCell ref="K4:K5"/>
    <mergeCell ref="L4:L5"/>
    <mergeCell ref="M4:N4"/>
    <mergeCell ref="O4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0">
      <selection activeCell="R13" sqref="R13"/>
    </sheetView>
  </sheetViews>
  <sheetFormatPr defaultColWidth="9.140625" defaultRowHeight="12.75"/>
  <cols>
    <col min="1" max="1" width="21.7109375" style="0" customWidth="1"/>
    <col min="2" max="4" width="7.00390625" style="0" customWidth="1"/>
    <col min="5" max="5" width="7.57421875" style="0" customWidth="1"/>
    <col min="6" max="6" width="7.421875" style="0" customWidth="1"/>
    <col min="7" max="7" width="5.140625" style="0" hidden="1" customWidth="1"/>
    <col min="8" max="8" width="4.8515625" style="0" hidden="1" customWidth="1"/>
    <col min="9" max="9" width="8.140625" style="0" customWidth="1"/>
    <col min="10" max="10" width="6.8515625" style="0" customWidth="1"/>
    <col min="11" max="11" width="7.8515625" style="0" customWidth="1"/>
    <col min="12" max="12" width="7.28125" style="0" customWidth="1"/>
    <col min="13" max="13" width="7.7109375" style="0" customWidth="1"/>
    <col min="14" max="14" width="8.8515625" style="0" customWidth="1"/>
    <col min="15" max="16" width="7.421875" style="0" customWidth="1"/>
    <col min="17" max="17" width="6.140625" style="0" customWidth="1"/>
    <col min="18" max="18" width="6.8515625" style="0" customWidth="1"/>
    <col min="19" max="19" width="7.421875" style="0" customWidth="1"/>
    <col min="20" max="20" width="6.8515625" style="0" customWidth="1"/>
  </cols>
  <sheetData>
    <row r="1" spans="1:20" s="48" customFormat="1" ht="12.75">
      <c r="A1" s="109" t="s">
        <v>110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3" spans="1:20" s="2" customFormat="1" ht="77.25" customHeight="1">
      <c r="A3" s="107" t="s">
        <v>40</v>
      </c>
      <c r="B3" s="107" t="s">
        <v>41</v>
      </c>
      <c r="C3" s="107"/>
      <c r="D3" s="107"/>
      <c r="E3" s="107" t="s">
        <v>42</v>
      </c>
      <c r="F3" s="107"/>
      <c r="G3" s="107" t="s">
        <v>43</v>
      </c>
      <c r="H3" s="107"/>
      <c r="I3" s="107" t="s">
        <v>44</v>
      </c>
      <c r="J3" s="107"/>
      <c r="K3" s="107" t="s">
        <v>45</v>
      </c>
      <c r="L3" s="107"/>
      <c r="M3" s="107" t="s">
        <v>46</v>
      </c>
      <c r="N3" s="107"/>
      <c r="O3" s="107"/>
      <c r="P3" s="107" t="s">
        <v>47</v>
      </c>
      <c r="Q3" s="107"/>
      <c r="R3" s="107"/>
      <c r="S3" s="107" t="s">
        <v>64</v>
      </c>
      <c r="T3" s="107"/>
    </row>
    <row r="4" spans="1:20" s="2" customFormat="1" ht="28.5" customHeight="1">
      <c r="A4" s="107"/>
      <c r="B4" s="107" t="s">
        <v>33</v>
      </c>
      <c r="C4" s="107" t="s">
        <v>15</v>
      </c>
      <c r="D4" s="107"/>
      <c r="E4" s="108" t="s">
        <v>48</v>
      </c>
      <c r="F4" s="108" t="s">
        <v>49</v>
      </c>
      <c r="G4" s="108" t="s">
        <v>48</v>
      </c>
      <c r="H4" s="108" t="s">
        <v>49</v>
      </c>
      <c r="I4" s="108" t="s">
        <v>48</v>
      </c>
      <c r="J4" s="108" t="s">
        <v>49</v>
      </c>
      <c r="K4" s="108" t="s">
        <v>48</v>
      </c>
      <c r="L4" s="108" t="s">
        <v>49</v>
      </c>
      <c r="M4" s="107" t="s">
        <v>50</v>
      </c>
      <c r="N4" s="107"/>
      <c r="O4" s="108" t="s">
        <v>51</v>
      </c>
      <c r="P4" s="107" t="s">
        <v>33</v>
      </c>
      <c r="Q4" s="107" t="s">
        <v>15</v>
      </c>
      <c r="R4" s="107"/>
      <c r="S4" s="108" t="s">
        <v>62</v>
      </c>
      <c r="T4" s="108" t="s">
        <v>63</v>
      </c>
    </row>
    <row r="5" spans="1:20" s="2" customFormat="1" ht="103.5" customHeight="1">
      <c r="A5" s="107"/>
      <c r="B5" s="107"/>
      <c r="C5" s="22" t="s">
        <v>52</v>
      </c>
      <c r="D5" s="22" t="s">
        <v>53</v>
      </c>
      <c r="E5" s="108"/>
      <c r="F5" s="108"/>
      <c r="G5" s="108"/>
      <c r="H5" s="108"/>
      <c r="I5" s="108"/>
      <c r="J5" s="108"/>
      <c r="K5" s="108"/>
      <c r="L5" s="108"/>
      <c r="M5" s="1" t="s">
        <v>33</v>
      </c>
      <c r="N5" s="23" t="s">
        <v>54</v>
      </c>
      <c r="O5" s="108"/>
      <c r="P5" s="107"/>
      <c r="Q5" s="22" t="s">
        <v>52</v>
      </c>
      <c r="R5" s="22" t="s">
        <v>53</v>
      </c>
      <c r="S5" s="108"/>
      <c r="T5" s="108"/>
    </row>
    <row r="6" spans="1:20" s="3" customFormat="1" ht="24.75" customHeight="1">
      <c r="A6" s="21" t="s">
        <v>55</v>
      </c>
      <c r="B6" s="26">
        <f aca="true" t="shared" si="0" ref="B6:B11">SUM(C6:D6)</f>
        <v>2037.0782399999998</v>
      </c>
      <c r="C6" s="26">
        <v>1514.230997</v>
      </c>
      <c r="D6" s="27">
        <v>522.847243</v>
      </c>
      <c r="E6" s="27">
        <f>SUM(E13-E7)</f>
        <v>23620.3886</v>
      </c>
      <c r="F6" s="27">
        <f>SUM(F13-F7)</f>
        <v>2202.785610000001</v>
      </c>
      <c r="G6" s="27">
        <v>0</v>
      </c>
      <c r="H6" s="27">
        <v>0</v>
      </c>
      <c r="I6" s="27">
        <f aca="true" t="shared" si="1" ref="I6:J13">SUM(E6-G6)</f>
        <v>23620.3886</v>
      </c>
      <c r="J6" s="27">
        <f t="shared" si="1"/>
        <v>2202.785610000001</v>
      </c>
      <c r="K6" s="27">
        <f>SUM(L6)+'опл. окт.'!K6</f>
        <v>22608.163610000003</v>
      </c>
      <c r="L6" s="27">
        <f>SUM(L13-L7)</f>
        <v>2030.5140499999998</v>
      </c>
      <c r="M6" s="27">
        <f aca="true" t="shared" si="2" ref="M6:M13">SUM(K6)</f>
        <v>22608.163610000003</v>
      </c>
      <c r="N6" s="27">
        <f>SUM(N13-N7)</f>
        <v>519.6240887450565</v>
      </c>
      <c r="O6" s="27">
        <f aca="true" t="shared" si="3" ref="O6:O13">SUM(L6)</f>
        <v>2030.5140499999998</v>
      </c>
      <c r="P6" s="27">
        <f aca="true" t="shared" si="4" ref="P6:P13">SUM(B6+E6-K6)</f>
        <v>3049.303229999994</v>
      </c>
      <c r="Q6" s="27">
        <f>SUM(Q13-Q7)</f>
        <v>1655.0109947871942</v>
      </c>
      <c r="R6" s="27">
        <f>SUM(R13-R7)</f>
        <v>1394.2922352127953</v>
      </c>
      <c r="S6" s="38">
        <f>SUM((K6)/(E6))</f>
        <v>0.9571461330657365</v>
      </c>
      <c r="T6" s="38">
        <f>SUM((L6/J6))</f>
        <v>0.9217937691176397</v>
      </c>
    </row>
    <row r="7" spans="1:20" s="3" customFormat="1" ht="41.25" customHeight="1">
      <c r="A7" s="21" t="s">
        <v>56</v>
      </c>
      <c r="B7" s="26">
        <f t="shared" si="0"/>
        <v>3951.1929099999998</v>
      </c>
      <c r="C7" s="27">
        <f>SUM(C8:C12)</f>
        <v>2937.0589019999998</v>
      </c>
      <c r="D7" s="27">
        <f>SUM(D8:D12)</f>
        <v>1014.134008</v>
      </c>
      <c r="E7" s="27">
        <f>SUM(E8:E12)</f>
        <v>37720.54477</v>
      </c>
      <c r="F7" s="27">
        <f>SUM(F8:F12)</f>
        <v>5979.1666399999995</v>
      </c>
      <c r="G7" s="27">
        <v>0</v>
      </c>
      <c r="H7" s="27">
        <v>0</v>
      </c>
      <c r="I7" s="27">
        <f t="shared" si="1"/>
        <v>37720.54477</v>
      </c>
      <c r="J7" s="27">
        <f t="shared" si="1"/>
        <v>5979.1666399999995</v>
      </c>
      <c r="K7" s="27">
        <f>SUM(K8:K12)</f>
        <v>35019.240860000005</v>
      </c>
      <c r="L7" s="27">
        <f>SUM(L8:L12)</f>
        <v>4231.64933</v>
      </c>
      <c r="M7" s="27">
        <f t="shared" si="2"/>
        <v>35019.240860000005</v>
      </c>
      <c r="N7" s="27">
        <f>SUM(N13/M13)*M7</f>
        <v>804.8792212549436</v>
      </c>
      <c r="O7" s="27">
        <f t="shared" si="3"/>
        <v>4231.64933</v>
      </c>
      <c r="P7" s="27">
        <f t="shared" si="4"/>
        <v>6652.496819999993</v>
      </c>
      <c r="Q7" s="27">
        <f>SUM(Q8:Q12)</f>
        <v>3610.646285212797</v>
      </c>
      <c r="R7" s="27">
        <f>SUM(R8:R12)</f>
        <v>3041.850534787204</v>
      </c>
      <c r="S7" s="38">
        <f aca="true" t="shared" si="5" ref="S7:S13">SUM((K7)/(E7))</f>
        <v>0.928386402516954</v>
      </c>
      <c r="T7" s="38">
        <f aca="true" t="shared" si="6" ref="T7:T13">SUM((L7/J7))</f>
        <v>0.7077322952818723</v>
      </c>
    </row>
    <row r="8" spans="1:20" s="2" customFormat="1" ht="24.75" customHeight="1">
      <c r="A8" s="20" t="s">
        <v>57</v>
      </c>
      <c r="B8" s="28">
        <f t="shared" si="0"/>
        <v>983.69713</v>
      </c>
      <c r="C8" s="29">
        <v>731.216237</v>
      </c>
      <c r="D8" s="29">
        <v>252.480893</v>
      </c>
      <c r="E8" s="29">
        <f>SUM('Начисл.2016'!U26)/1000</f>
        <v>9137.119</v>
      </c>
      <c r="F8" s="29">
        <f>SUM('Начисл.2016'!U25)/1000</f>
        <v>941.89446</v>
      </c>
      <c r="G8" s="29">
        <v>0</v>
      </c>
      <c r="H8" s="29">
        <v>0</v>
      </c>
      <c r="I8" s="29">
        <f t="shared" si="1"/>
        <v>9137.119</v>
      </c>
      <c r="J8" s="29">
        <f t="shared" si="1"/>
        <v>941.89446</v>
      </c>
      <c r="K8" s="29">
        <f>SUM(L8)+'опл. окт.'!K8</f>
        <v>8616.052160000001</v>
      </c>
      <c r="L8" s="29">
        <v>842.33054</v>
      </c>
      <c r="M8" s="29">
        <f t="shared" si="2"/>
        <v>8616.052160000001</v>
      </c>
      <c r="N8" s="29">
        <f>SUM(N13/M13)*M8</f>
        <v>198.03060210691197</v>
      </c>
      <c r="O8" s="29">
        <f t="shared" si="3"/>
        <v>842.33054</v>
      </c>
      <c r="P8" s="29">
        <f t="shared" si="4"/>
        <v>1504.76397</v>
      </c>
      <c r="Q8" s="29">
        <f>SUM(Q13/P13)*P8</f>
        <v>816.7114671995529</v>
      </c>
      <c r="R8" s="29">
        <f>SUM(R13/Q13)*Q8</f>
        <v>688.052502800447</v>
      </c>
      <c r="S8" s="38">
        <f t="shared" si="5"/>
        <v>0.9429725233960509</v>
      </c>
      <c r="T8" s="38">
        <f t="shared" si="6"/>
        <v>0.8942939742951669</v>
      </c>
    </row>
    <row r="9" spans="1:20" s="2" customFormat="1" ht="21.75" customHeight="1">
      <c r="A9" s="20" t="s">
        <v>58</v>
      </c>
      <c r="B9" s="28">
        <f t="shared" si="0"/>
        <v>573.44926</v>
      </c>
      <c r="C9" s="29">
        <v>426.264749</v>
      </c>
      <c r="D9" s="29">
        <v>147.184511</v>
      </c>
      <c r="E9" s="29">
        <f>SUM('Начисл.2016'!V26)/1000</f>
        <v>4993.10441</v>
      </c>
      <c r="F9" s="29">
        <f>SUM('Начисл.2016'!V25)/1000</f>
        <v>478.92162</v>
      </c>
      <c r="G9" s="29">
        <v>0</v>
      </c>
      <c r="H9" s="29">
        <v>0</v>
      </c>
      <c r="I9" s="29">
        <f t="shared" si="1"/>
        <v>4993.10441</v>
      </c>
      <c r="J9" s="29">
        <f t="shared" si="1"/>
        <v>478.92162</v>
      </c>
      <c r="K9" s="29">
        <f>SUM(L9)+'опл. окт.'!K9</f>
        <v>4764.46879</v>
      </c>
      <c r="L9" s="29">
        <v>435.07467</v>
      </c>
      <c r="M9" s="29">
        <f t="shared" si="2"/>
        <v>4764.46879</v>
      </c>
      <c r="N9" s="29">
        <f>SUM(N13/M13)*M9</f>
        <v>109.50614105884083</v>
      </c>
      <c r="O9" s="29">
        <f t="shared" si="3"/>
        <v>435.07467</v>
      </c>
      <c r="P9" s="29">
        <f t="shared" si="4"/>
        <v>802.0848800000003</v>
      </c>
      <c r="Q9" s="29">
        <f>SUM(Q13/P13)*P9</f>
        <v>435.3320070279046</v>
      </c>
      <c r="R9" s="29">
        <f>SUM(R13/Q13)*Q9</f>
        <v>366.7528729720957</v>
      </c>
      <c r="S9" s="38">
        <f t="shared" si="5"/>
        <v>0.9542097258086377</v>
      </c>
      <c r="T9" s="38">
        <f t="shared" si="6"/>
        <v>0.90844650112058</v>
      </c>
    </row>
    <row r="10" spans="1:20" s="2" customFormat="1" ht="20.25" customHeight="1">
      <c r="A10" s="20" t="s">
        <v>59</v>
      </c>
      <c r="B10" s="29">
        <f t="shared" si="0"/>
        <v>0</v>
      </c>
      <c r="C10" s="29">
        <v>0</v>
      </c>
      <c r="D10" s="29">
        <v>0</v>
      </c>
      <c r="E10" s="29">
        <f>SUM('Начисл.2016'!Y26)/1000</f>
        <v>0</v>
      </c>
      <c r="F10" s="29">
        <f>SUM('Начисл.2016'!Y25)/1000</f>
        <v>0</v>
      </c>
      <c r="G10" s="29">
        <v>0</v>
      </c>
      <c r="H10" s="29">
        <v>0</v>
      </c>
      <c r="I10" s="29">
        <f t="shared" si="1"/>
        <v>0</v>
      </c>
      <c r="J10" s="29">
        <f t="shared" si="1"/>
        <v>0</v>
      </c>
      <c r="K10" s="29">
        <f>SUM(L10)+'опл. окт.'!K10</f>
        <v>0</v>
      </c>
      <c r="L10" s="29">
        <v>0</v>
      </c>
      <c r="M10" s="29">
        <f t="shared" si="2"/>
        <v>0</v>
      </c>
      <c r="N10" s="29">
        <f>SUM(N13/M13)*M10</f>
        <v>0</v>
      </c>
      <c r="O10" s="29">
        <f t="shared" si="3"/>
        <v>0</v>
      </c>
      <c r="P10" s="29">
        <f t="shared" si="4"/>
        <v>0</v>
      </c>
      <c r="Q10" s="29">
        <f>SUM(Q13/P13)*P10</f>
        <v>0</v>
      </c>
      <c r="R10" s="29">
        <f>SUM(P10-Q10)</f>
        <v>0</v>
      </c>
      <c r="S10" s="38">
        <v>0</v>
      </c>
      <c r="T10" s="38">
        <v>0</v>
      </c>
    </row>
    <row r="11" spans="1:20" s="2" customFormat="1" ht="21" customHeight="1">
      <c r="A11" s="20" t="s">
        <v>60</v>
      </c>
      <c r="B11" s="29">
        <f t="shared" si="0"/>
        <v>2394.04652</v>
      </c>
      <c r="C11" s="29">
        <v>1779.577916</v>
      </c>
      <c r="D11" s="29">
        <v>614.468604</v>
      </c>
      <c r="E11" s="29">
        <f>SUM('Начисл.2016'!W26)/1000</f>
        <v>22815.948</v>
      </c>
      <c r="F11" s="29">
        <f>SUM('Начисл.2016'!W25)/1000</f>
        <v>4244.69713</v>
      </c>
      <c r="G11" s="29">
        <v>0</v>
      </c>
      <c r="H11" s="29">
        <v>0</v>
      </c>
      <c r="I11" s="29">
        <f t="shared" si="1"/>
        <v>22815.948</v>
      </c>
      <c r="J11" s="29">
        <f t="shared" si="1"/>
        <v>4244.69713</v>
      </c>
      <c r="K11" s="29">
        <f>SUM(L11)+'опл. окт.'!K11</f>
        <v>21107.76272</v>
      </c>
      <c r="L11" s="29">
        <v>2825.45183</v>
      </c>
      <c r="M11" s="29">
        <f t="shared" si="2"/>
        <v>21107.76272</v>
      </c>
      <c r="N11" s="29">
        <f>SUM(N13/M13)*M11</f>
        <v>485.1390036816385</v>
      </c>
      <c r="O11" s="29">
        <f t="shared" si="3"/>
        <v>2825.45183</v>
      </c>
      <c r="P11" s="29">
        <f t="shared" si="4"/>
        <v>4102.231800000001</v>
      </c>
      <c r="Q11" s="29">
        <f>SUM(Q13/P13)*P11</f>
        <v>2226.4885516701092</v>
      </c>
      <c r="R11" s="29">
        <f>SUM(R13/Q13)*Q11</f>
        <v>1875.7432483298917</v>
      </c>
      <c r="S11" s="38">
        <f t="shared" si="5"/>
        <v>0.9251319612053813</v>
      </c>
      <c r="T11" s="38">
        <f t="shared" si="6"/>
        <v>0.6656427404515431</v>
      </c>
    </row>
    <row r="12" spans="1:20" s="2" customFormat="1" ht="21" customHeight="1">
      <c r="A12" s="20" t="s">
        <v>115</v>
      </c>
      <c r="B12" s="29">
        <v>0</v>
      </c>
      <c r="C12" s="29">
        <v>0</v>
      </c>
      <c r="D12" s="29">
        <v>0</v>
      </c>
      <c r="E12" s="29">
        <f>SUM('Начисл.2016'!Z26)/1000</f>
        <v>774.3733599999999</v>
      </c>
      <c r="F12" s="29">
        <f>SUM('Начисл.2016'!Z25)/1000</f>
        <v>313.65343</v>
      </c>
      <c r="G12" s="29"/>
      <c r="H12" s="29"/>
      <c r="I12" s="29">
        <f>SUM(E12-G12)</f>
        <v>774.3733599999999</v>
      </c>
      <c r="J12" s="29">
        <f>SUM(F12-H12)</f>
        <v>313.65343</v>
      </c>
      <c r="K12" s="29">
        <f>SUM(L12)+'опл. окт.'!K12</f>
        <v>530.95719</v>
      </c>
      <c r="L12" s="29">
        <v>128.79229</v>
      </c>
      <c r="M12" s="29">
        <f>SUM(K12)</f>
        <v>530.95719</v>
      </c>
      <c r="N12" s="29">
        <f>SUM(N13/M13)*M12</f>
        <v>12.203474407552106</v>
      </c>
      <c r="O12" s="29">
        <f>SUM(L12)</f>
        <v>128.79229</v>
      </c>
      <c r="P12" s="29">
        <f>SUM(B12+E12-K12)</f>
        <v>243.41616999999997</v>
      </c>
      <c r="Q12" s="29">
        <f>SUM(Q13/P13)*P12</f>
        <v>132.11425931523053</v>
      </c>
      <c r="R12" s="29">
        <f>SUM(R13/Q13)*Q12</f>
        <v>111.30191068476944</v>
      </c>
      <c r="S12" s="38">
        <f>SUM((K12)/(E12))</f>
        <v>0.6856604545383638</v>
      </c>
      <c r="T12" s="38">
        <f>SUM((L12/J12))</f>
        <v>0.4106197403930829</v>
      </c>
    </row>
    <row r="13" spans="1:20" s="3" customFormat="1" ht="24" customHeight="1">
      <c r="A13" s="21" t="s">
        <v>61</v>
      </c>
      <c r="B13" s="26">
        <f>SUM(B6)+B7</f>
        <v>5988.27115</v>
      </c>
      <c r="C13" s="27">
        <f>SUM(C6)+C7</f>
        <v>4451.289898999999</v>
      </c>
      <c r="D13" s="27">
        <f>SUM(D6)+D7</f>
        <v>1536.9812510000002</v>
      </c>
      <c r="E13" s="27">
        <f>SUM('Начисл.2016'!AH26)/1000</f>
        <v>61340.93337</v>
      </c>
      <c r="F13" s="27">
        <f>SUM('Начисл.2016'!AH25)/1000</f>
        <v>8181.95225</v>
      </c>
      <c r="G13" s="27">
        <v>0</v>
      </c>
      <c r="H13" s="27">
        <v>0</v>
      </c>
      <c r="I13" s="27">
        <f t="shared" si="1"/>
        <v>61340.93337</v>
      </c>
      <c r="J13" s="27">
        <f t="shared" si="1"/>
        <v>8181.95225</v>
      </c>
      <c r="K13" s="27">
        <f>SUM('Начисл.2016'!AI26)/1000</f>
        <v>57627.40447000001</v>
      </c>
      <c r="L13" s="53">
        <f>SUM('Начисл.2016'!AI25)/1000</f>
        <v>6262.16338</v>
      </c>
      <c r="M13" s="27">
        <f t="shared" si="2"/>
        <v>57627.40447000001</v>
      </c>
      <c r="N13" s="27">
        <f>SUM(N39)</f>
        <v>1324.50331</v>
      </c>
      <c r="O13" s="27">
        <f t="shared" si="3"/>
        <v>6262.16338</v>
      </c>
      <c r="P13" s="27">
        <f t="shared" si="4"/>
        <v>9701.80004999999</v>
      </c>
      <c r="Q13" s="27">
        <f>SUM(P13-R13)</f>
        <v>5265.657279999991</v>
      </c>
      <c r="R13" s="27">
        <f>SUM(T46)/1000</f>
        <v>4436.1427699999995</v>
      </c>
      <c r="S13" s="38">
        <f t="shared" si="5"/>
        <v>0.939460834780578</v>
      </c>
      <c r="T13" s="38">
        <f t="shared" si="6"/>
        <v>0.7653629828993441</v>
      </c>
    </row>
    <row r="14" spans="1:20" s="3" customFormat="1" ht="24" customHeight="1">
      <c r="A14" s="49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  <c r="T14" s="52"/>
    </row>
    <row r="15" spans="1:20" s="3" customFormat="1" ht="24" customHeight="1">
      <c r="A15" s="49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2"/>
      <c r="T15" s="52"/>
    </row>
    <row r="17" ht="12.75">
      <c r="A17" t="s">
        <v>34</v>
      </c>
    </row>
    <row r="18" ht="12.75">
      <c r="A18" t="s">
        <v>35</v>
      </c>
    </row>
    <row r="21" ht="12.75" hidden="1"/>
    <row r="22" ht="12.75" hidden="1"/>
    <row r="23" ht="12.75" hidden="1"/>
    <row r="24" ht="12.75" hidden="1"/>
    <row r="25" ht="12.75" hidden="1"/>
    <row r="26" ht="12.75" hidden="1"/>
    <row r="27" ht="12.75" hidden="1">
      <c r="N27">
        <f>SUM('опл. сентяб.'!N26)</f>
        <v>64.25493</v>
      </c>
    </row>
    <row r="28" ht="12.75" hidden="1">
      <c r="N28">
        <f>SUM('опл. сентяб.'!N27)</f>
        <v>122.42421</v>
      </c>
    </row>
    <row r="29" ht="12.75" hidden="1">
      <c r="N29">
        <f>SUM('опл. сентяб.'!N28)</f>
        <v>191.12239</v>
      </c>
    </row>
    <row r="30" ht="12.75" hidden="1">
      <c r="N30">
        <f>SUM('опл. сентяб.'!N29)</f>
        <v>224.8662</v>
      </c>
    </row>
    <row r="31" ht="12.75" hidden="1">
      <c r="N31">
        <f>SUM('опл. сентяб.'!N30)</f>
        <v>123.86081</v>
      </c>
    </row>
    <row r="32" ht="12.75" hidden="1">
      <c r="N32">
        <f>SUM('опл. сентяб.'!N31)</f>
        <v>59.06443</v>
      </c>
    </row>
    <row r="33" ht="12.75" hidden="1">
      <c r="N33">
        <f>SUM('опл. сентяб.'!N32)</f>
        <v>33.96069</v>
      </c>
    </row>
    <row r="34" ht="12.75" hidden="1">
      <c r="N34">
        <f>SUM('опл. сентяб.'!N33)</f>
        <v>64.22679</v>
      </c>
    </row>
    <row r="35" spans="2:19" ht="12.75" hidden="1">
      <c r="B35">
        <f>SUM(B7,B6)</f>
        <v>5988.27115</v>
      </c>
      <c r="C35" s="36">
        <f>SUM(C7,C6)</f>
        <v>4451.289898999999</v>
      </c>
      <c r="D35">
        <f>SUM(D7,D6)</f>
        <v>1536.9812510000002</v>
      </c>
      <c r="E35" s="30">
        <f>SUM(E8:E12,E6)</f>
        <v>61340.93337</v>
      </c>
      <c r="F35" s="30">
        <f>SUM(F8:F12,F6)</f>
        <v>8181.95225</v>
      </c>
      <c r="G35" s="31">
        <v>0</v>
      </c>
      <c r="H35" s="31">
        <v>0</v>
      </c>
      <c r="I35" s="30">
        <f>SUM(I8:I12,I6)</f>
        <v>61340.93337</v>
      </c>
      <c r="J35" s="30">
        <f>SUM(J8:J12,J6)</f>
        <v>8181.95225</v>
      </c>
      <c r="K35" s="30">
        <f>SUM(K8:K12,K6)</f>
        <v>57627.40447000001</v>
      </c>
      <c r="L35" s="30">
        <f>SUM(L8:L12,L6)</f>
        <v>6262.16338</v>
      </c>
      <c r="M35" s="30">
        <f>SUM('Начисл.2016'!AI26)/1000</f>
        <v>57627.40447000001</v>
      </c>
      <c r="N35">
        <f>SUM('опл. сентяб.'!N34)</f>
        <v>115.1288</v>
      </c>
      <c r="O35" s="31">
        <f>SUM('Начисл.2016'!AI25)/1000</f>
        <v>6262.16338</v>
      </c>
      <c r="P35" s="33">
        <f>SUM('Начисл.2016'!AJ26)/1000</f>
        <v>9701.740339999997</v>
      </c>
      <c r="Q35" s="33">
        <f>SUM(Q13)</f>
        <v>5265.657279999991</v>
      </c>
      <c r="R35" s="30">
        <f>SUM(R8:R12,R6)</f>
        <v>4436.1427699999995</v>
      </c>
      <c r="S35" s="31"/>
    </row>
    <row r="36" spans="2:19" ht="12.75" hidden="1">
      <c r="B36">
        <f>SUM(B8:B11,B6)</f>
        <v>5988.27115</v>
      </c>
      <c r="C36" s="36">
        <f>SUM(C8:C11,C6)</f>
        <v>4451.289898999999</v>
      </c>
      <c r="D36">
        <f>SUM(D8:D11,D6)</f>
        <v>1536.9812510000002</v>
      </c>
      <c r="E36" s="30">
        <f>SUM(E35-E13)</f>
        <v>0</v>
      </c>
      <c r="F36" s="30">
        <f>SUM(F35-F13)</f>
        <v>0</v>
      </c>
      <c r="G36" s="31">
        <v>0</v>
      </c>
      <c r="H36" s="31">
        <v>0</v>
      </c>
      <c r="I36" s="30">
        <f>SUM(I13-I35)</f>
        <v>0</v>
      </c>
      <c r="J36" s="30">
        <f aca="true" t="shared" si="7" ref="J36:R36">SUM(J13-J35)</f>
        <v>0</v>
      </c>
      <c r="K36" s="30">
        <f t="shared" si="7"/>
        <v>0</v>
      </c>
      <c r="L36" s="30">
        <f>SUM(L13-L35)</f>
        <v>0</v>
      </c>
      <c r="M36" s="30">
        <f t="shared" si="7"/>
        <v>0</v>
      </c>
      <c r="N36" s="31">
        <f>SUM('опл. окт.'!N36)</f>
        <v>0</v>
      </c>
      <c r="O36" s="30">
        <f t="shared" si="7"/>
        <v>0</v>
      </c>
      <c r="P36" s="33">
        <f>SUM(P7,P6)</f>
        <v>9701.800049999987</v>
      </c>
      <c r="Q36" s="30">
        <f t="shared" si="7"/>
        <v>0</v>
      </c>
      <c r="R36" s="30">
        <f t="shared" si="7"/>
        <v>0</v>
      </c>
      <c r="S36" s="31"/>
    </row>
    <row r="37" spans="5:19" ht="12.75" hidden="1">
      <c r="E37" s="31"/>
      <c r="F37" s="31"/>
      <c r="G37" s="31"/>
      <c r="H37" s="31"/>
      <c r="I37" s="31"/>
      <c r="J37" s="31"/>
      <c r="K37" s="31"/>
      <c r="L37" s="31">
        <f>SUM(L35-L36)</f>
        <v>6262.16338</v>
      </c>
      <c r="M37" s="31"/>
      <c r="N37" s="31">
        <v>325.59406</v>
      </c>
      <c r="O37" s="31"/>
      <c r="P37" s="33">
        <f>SUM(P35-P36)</f>
        <v>-0.059709999990445795</v>
      </c>
      <c r="Q37" s="33">
        <f>SUM(Q7,Q6)</f>
        <v>5265.657279999991</v>
      </c>
      <c r="R37" s="31"/>
      <c r="S37" s="31"/>
    </row>
    <row r="38" spans="5:19" ht="12.75" hidden="1">
      <c r="E38" s="31"/>
      <c r="F38" s="31"/>
      <c r="G38" s="31"/>
      <c r="H38" s="31"/>
      <c r="I38" s="31"/>
      <c r="J38" s="31"/>
      <c r="K38" s="31"/>
      <c r="L38" s="31"/>
      <c r="M38" s="31"/>
      <c r="N38" s="31">
        <v>0</v>
      </c>
      <c r="O38" s="31"/>
      <c r="P38" s="33"/>
      <c r="Q38" s="33"/>
      <c r="R38" s="31"/>
      <c r="S38" s="31"/>
    </row>
    <row r="39" spans="5:19" ht="12.75" hidden="1">
      <c r="E39" s="31"/>
      <c r="F39" s="31"/>
      <c r="G39" s="31"/>
      <c r="H39" s="31"/>
      <c r="I39" s="31"/>
      <c r="J39" s="31"/>
      <c r="K39" s="31"/>
      <c r="L39" s="31"/>
      <c r="M39" s="31"/>
      <c r="N39" s="101">
        <f>SUM(N26:N38)</f>
        <v>1324.50331</v>
      </c>
      <c r="O39" s="31"/>
      <c r="P39" s="31"/>
      <c r="Q39" s="31"/>
      <c r="R39" s="31"/>
      <c r="S39" s="31"/>
    </row>
    <row r="40" spans="5:19" ht="12.75" hidden="1">
      <c r="E40" s="31"/>
      <c r="F40" s="31"/>
      <c r="G40" s="31"/>
      <c r="H40" s="31"/>
      <c r="I40" s="31"/>
      <c r="J40" s="31"/>
      <c r="K40" s="31"/>
      <c r="L40" s="31"/>
      <c r="M40" s="31"/>
      <c r="N40" s="32"/>
      <c r="O40" s="31"/>
      <c r="P40" s="31"/>
      <c r="Q40" s="31"/>
      <c r="R40" s="31"/>
      <c r="S40" s="31"/>
    </row>
    <row r="41" spans="5:19" ht="12.75" hidden="1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5:19" ht="12.75" hidden="1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ht="12.75" hidden="1"/>
    <row r="44" ht="12.75" hidden="1">
      <c r="T44" s="31" t="s">
        <v>3</v>
      </c>
    </row>
    <row r="45" spans="19:20" ht="12.75" hidden="1">
      <c r="S45">
        <f>SUM(T45:W45)</f>
        <v>5031910.06</v>
      </c>
      <c r="T45" s="46">
        <v>5031910.06</v>
      </c>
    </row>
    <row r="46" spans="20:21" ht="12.75" hidden="1">
      <c r="T46" s="95">
        <v>4436142.77</v>
      </c>
      <c r="U46" t="s">
        <v>92</v>
      </c>
    </row>
    <row r="47" ht="12.75" hidden="1"/>
  </sheetData>
  <sheetProtection/>
  <mergeCells count="26">
    <mergeCell ref="P4:P5"/>
    <mergeCell ref="Q4:R4"/>
    <mergeCell ref="S4:S5"/>
    <mergeCell ref="T4:T5"/>
    <mergeCell ref="I4:I5"/>
    <mergeCell ref="J4:J5"/>
    <mergeCell ref="K4:K5"/>
    <mergeCell ref="L4:L5"/>
    <mergeCell ref="M4:N4"/>
    <mergeCell ref="O4:O5"/>
    <mergeCell ref="B4:B5"/>
    <mergeCell ref="C4:D4"/>
    <mergeCell ref="E4:E5"/>
    <mergeCell ref="F4:F5"/>
    <mergeCell ref="G4:G5"/>
    <mergeCell ref="H4:H5"/>
    <mergeCell ref="A1:T1"/>
    <mergeCell ref="A3:A5"/>
    <mergeCell ref="B3:D3"/>
    <mergeCell ref="E3:F3"/>
    <mergeCell ref="G3:H3"/>
    <mergeCell ref="I3:J3"/>
    <mergeCell ref="K3:L3"/>
    <mergeCell ref="M3:O3"/>
    <mergeCell ref="P3:R3"/>
    <mergeCell ref="S3:T3"/>
  </mergeCells>
  <printOptions/>
  <pageMargins left="0.31496062992125984" right="0" top="0.5511811023622047" bottom="0.551181102362204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0">
      <selection activeCell="A15" sqref="A15:IV15"/>
    </sheetView>
  </sheetViews>
  <sheetFormatPr defaultColWidth="9.140625" defaultRowHeight="12.75"/>
  <cols>
    <col min="1" max="1" width="21.7109375" style="0" customWidth="1"/>
    <col min="2" max="4" width="7.00390625" style="0" customWidth="1"/>
    <col min="5" max="5" width="7.57421875" style="0" customWidth="1"/>
    <col min="6" max="6" width="7.421875" style="0" customWidth="1"/>
    <col min="7" max="7" width="5.140625" style="0" hidden="1" customWidth="1"/>
    <col min="8" max="8" width="4.8515625" style="0" hidden="1" customWidth="1"/>
    <col min="9" max="9" width="8.140625" style="0" customWidth="1"/>
    <col min="10" max="10" width="6.8515625" style="0" customWidth="1"/>
    <col min="11" max="11" width="7.8515625" style="0" customWidth="1"/>
    <col min="12" max="12" width="8.140625" style="0" customWidth="1"/>
    <col min="13" max="13" width="7.7109375" style="0" customWidth="1"/>
    <col min="14" max="14" width="8.28125" style="0" customWidth="1"/>
    <col min="15" max="15" width="7.421875" style="0" customWidth="1"/>
    <col min="16" max="16" width="7.00390625" style="0" customWidth="1"/>
    <col min="17" max="17" width="6.140625" style="0" customWidth="1"/>
    <col min="18" max="18" width="6.8515625" style="0" customWidth="1"/>
    <col min="19" max="19" width="6.28125" style="0" customWidth="1"/>
    <col min="20" max="20" width="6.8515625" style="0" customWidth="1"/>
  </cols>
  <sheetData>
    <row r="1" spans="1:20" s="48" customFormat="1" ht="12.75">
      <c r="A1" s="109" t="s">
        <v>111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3" spans="1:20" s="2" customFormat="1" ht="77.25" customHeight="1">
      <c r="A3" s="107" t="s">
        <v>40</v>
      </c>
      <c r="B3" s="107" t="s">
        <v>41</v>
      </c>
      <c r="C3" s="107"/>
      <c r="D3" s="107"/>
      <c r="E3" s="107" t="s">
        <v>42</v>
      </c>
      <c r="F3" s="107"/>
      <c r="G3" s="107" t="s">
        <v>43</v>
      </c>
      <c r="H3" s="107"/>
      <c r="I3" s="107" t="s">
        <v>44</v>
      </c>
      <c r="J3" s="107"/>
      <c r="K3" s="107" t="s">
        <v>45</v>
      </c>
      <c r="L3" s="107"/>
      <c r="M3" s="107" t="s">
        <v>46</v>
      </c>
      <c r="N3" s="107"/>
      <c r="O3" s="107"/>
      <c r="P3" s="107" t="s">
        <v>47</v>
      </c>
      <c r="Q3" s="107"/>
      <c r="R3" s="107"/>
      <c r="S3" s="107" t="s">
        <v>64</v>
      </c>
      <c r="T3" s="107"/>
    </row>
    <row r="4" spans="1:20" s="2" customFormat="1" ht="28.5" customHeight="1">
      <c r="A4" s="107"/>
      <c r="B4" s="107" t="s">
        <v>33</v>
      </c>
      <c r="C4" s="107" t="s">
        <v>15</v>
      </c>
      <c r="D4" s="107"/>
      <c r="E4" s="108" t="s">
        <v>48</v>
      </c>
      <c r="F4" s="108" t="s">
        <v>49</v>
      </c>
      <c r="G4" s="108" t="s">
        <v>48</v>
      </c>
      <c r="H4" s="108" t="s">
        <v>49</v>
      </c>
      <c r="I4" s="108" t="s">
        <v>48</v>
      </c>
      <c r="J4" s="108" t="s">
        <v>49</v>
      </c>
      <c r="K4" s="108" t="s">
        <v>48</v>
      </c>
      <c r="L4" s="108" t="s">
        <v>49</v>
      </c>
      <c r="M4" s="107" t="s">
        <v>50</v>
      </c>
      <c r="N4" s="107"/>
      <c r="O4" s="108" t="s">
        <v>51</v>
      </c>
      <c r="P4" s="107" t="s">
        <v>33</v>
      </c>
      <c r="Q4" s="107" t="s">
        <v>15</v>
      </c>
      <c r="R4" s="107"/>
      <c r="S4" s="108" t="s">
        <v>62</v>
      </c>
      <c r="T4" s="108" t="s">
        <v>63</v>
      </c>
    </row>
    <row r="5" spans="1:20" s="2" customFormat="1" ht="103.5" customHeight="1">
      <c r="A5" s="107"/>
      <c r="B5" s="107"/>
      <c r="C5" s="22" t="s">
        <v>52</v>
      </c>
      <c r="D5" s="22" t="s">
        <v>53</v>
      </c>
      <c r="E5" s="108"/>
      <c r="F5" s="108"/>
      <c r="G5" s="108"/>
      <c r="H5" s="108"/>
      <c r="I5" s="108"/>
      <c r="J5" s="108"/>
      <c r="K5" s="108"/>
      <c r="L5" s="108"/>
      <c r="M5" s="1" t="s">
        <v>33</v>
      </c>
      <c r="N5" s="23" t="s">
        <v>54</v>
      </c>
      <c r="O5" s="108"/>
      <c r="P5" s="107"/>
      <c r="Q5" s="22" t="s">
        <v>52</v>
      </c>
      <c r="R5" s="22" t="s">
        <v>53</v>
      </c>
      <c r="S5" s="108"/>
      <c r="T5" s="108"/>
    </row>
    <row r="6" spans="1:20" s="3" customFormat="1" ht="24.75" customHeight="1">
      <c r="A6" s="21" t="s">
        <v>55</v>
      </c>
      <c r="B6" s="26">
        <f aca="true" t="shared" si="0" ref="B6:B11">SUM(C6:D6)</f>
        <v>2037.0782399999998</v>
      </c>
      <c r="C6" s="26">
        <v>1514.230997</v>
      </c>
      <c r="D6" s="27">
        <v>522.847243</v>
      </c>
      <c r="E6" s="27">
        <f>SUM(E13-E7)</f>
        <v>25823.51394000001</v>
      </c>
      <c r="F6" s="27">
        <f>SUM(F13-F7)</f>
        <v>2203.1253399999996</v>
      </c>
      <c r="G6" s="27">
        <v>0</v>
      </c>
      <c r="H6" s="27">
        <v>0</v>
      </c>
      <c r="I6" s="27">
        <f aca="true" t="shared" si="1" ref="I6:J13">SUM(E6-G6)</f>
        <v>25823.51394000001</v>
      </c>
      <c r="J6" s="27">
        <f t="shared" si="1"/>
        <v>2203.1253399999996</v>
      </c>
      <c r="K6" s="27">
        <f>SUM(L6)+'опл. нояб.'!K6</f>
        <v>25210.955240000003</v>
      </c>
      <c r="L6" s="27">
        <f>SUM(L13-L7)</f>
        <v>2602.791629999999</v>
      </c>
      <c r="M6" s="27">
        <f aca="true" t="shared" si="2" ref="M6:M13">SUM(K6)</f>
        <v>25210.955240000003</v>
      </c>
      <c r="N6" s="27">
        <f>SUM(N13-N7)</f>
        <v>598.3982985258563</v>
      </c>
      <c r="O6" s="27">
        <f aca="true" t="shared" si="3" ref="O6:O13">SUM(L6)</f>
        <v>2602.791629999999</v>
      </c>
      <c r="P6" s="27">
        <f aca="true" t="shared" si="4" ref="P6:P13">SUM(B6+E6-K6)</f>
        <v>2649.6369400000076</v>
      </c>
      <c r="Q6" s="27">
        <f>SUM(Q13-Q7)</f>
        <v>1650.1593225900624</v>
      </c>
      <c r="R6" s="27">
        <f>SUM(R13-R7)</f>
        <v>999.4776174099334</v>
      </c>
      <c r="S6" s="38">
        <f>SUM((K6)/(E6))</f>
        <v>0.9762790338517343</v>
      </c>
      <c r="T6" s="38">
        <f>SUM((L6/J6))</f>
        <v>1.1814087844861334</v>
      </c>
    </row>
    <row r="7" spans="1:20" s="3" customFormat="1" ht="41.25" customHeight="1">
      <c r="A7" s="21" t="s">
        <v>56</v>
      </c>
      <c r="B7" s="26">
        <f t="shared" si="0"/>
        <v>3951.1929099999998</v>
      </c>
      <c r="C7" s="27">
        <f>SUM(C8:C12)</f>
        <v>2937.0589019999998</v>
      </c>
      <c r="D7" s="27">
        <f>SUM(D8:D12)</f>
        <v>1014.134008</v>
      </c>
      <c r="E7" s="27">
        <f>SUM(E8:E12)</f>
        <v>44968.97001</v>
      </c>
      <c r="F7" s="27">
        <f>SUM(F8:F12)</f>
        <v>7248.42524</v>
      </c>
      <c r="G7" s="27">
        <v>0</v>
      </c>
      <c r="H7" s="27">
        <v>0</v>
      </c>
      <c r="I7" s="27">
        <f t="shared" si="1"/>
        <v>44968.97001</v>
      </c>
      <c r="J7" s="27">
        <f t="shared" si="1"/>
        <v>7248.42524</v>
      </c>
      <c r="K7" s="27">
        <f>SUM(K8:K12)</f>
        <v>42527.804339999995</v>
      </c>
      <c r="L7" s="27">
        <f>SUM(L8:L12)</f>
        <v>7508.56348</v>
      </c>
      <c r="M7" s="27">
        <f t="shared" si="2"/>
        <v>42527.804339999995</v>
      </c>
      <c r="N7" s="27">
        <f>SUM(N13/M13)*M7</f>
        <v>1009.4248914741438</v>
      </c>
      <c r="O7" s="27">
        <f t="shared" si="3"/>
        <v>7508.56348</v>
      </c>
      <c r="P7" s="27">
        <f t="shared" si="4"/>
        <v>6392.35858</v>
      </c>
      <c r="Q7" s="27">
        <f>SUM(Q8:Q12)</f>
        <v>3981.077537409935</v>
      </c>
      <c r="R7" s="27">
        <f>SUM(R8:R12)</f>
        <v>2411.2810425900666</v>
      </c>
      <c r="S7" s="38">
        <f aca="true" t="shared" si="5" ref="S7:S13">SUM((K7)/(E7))</f>
        <v>0.9457144411033398</v>
      </c>
      <c r="T7" s="38">
        <f aca="true" t="shared" si="6" ref="T7:T13">SUM((L7/J7))</f>
        <v>1.0358889319247502</v>
      </c>
    </row>
    <row r="8" spans="1:20" s="2" customFormat="1" ht="24.75" customHeight="1">
      <c r="A8" s="20" t="s">
        <v>57</v>
      </c>
      <c r="B8" s="28">
        <f t="shared" si="0"/>
        <v>983.69713</v>
      </c>
      <c r="C8" s="29">
        <v>731.216237</v>
      </c>
      <c r="D8" s="29">
        <v>252.480893</v>
      </c>
      <c r="E8" s="29">
        <f>SUM('Начисл.2016'!U28)/1000</f>
        <v>10019.48882</v>
      </c>
      <c r="F8" s="29">
        <f>SUM('Начисл.2016'!U27)/1000</f>
        <v>882.36982</v>
      </c>
      <c r="G8" s="29">
        <v>0</v>
      </c>
      <c r="H8" s="29">
        <v>0</v>
      </c>
      <c r="I8" s="29">
        <f t="shared" si="1"/>
        <v>10019.48882</v>
      </c>
      <c r="J8" s="29">
        <f t="shared" si="1"/>
        <v>882.36982</v>
      </c>
      <c r="K8" s="29">
        <f>SUM(L8)+'опл. нояб.'!K8</f>
        <v>9732.026310000001</v>
      </c>
      <c r="L8" s="29">
        <v>1115.97415</v>
      </c>
      <c r="M8" s="29">
        <f t="shared" si="2"/>
        <v>9732.026310000001</v>
      </c>
      <c r="N8" s="29">
        <f>SUM(N13/M13)*M8</f>
        <v>230.99592735276548</v>
      </c>
      <c r="O8" s="29">
        <f t="shared" si="3"/>
        <v>1115.97415</v>
      </c>
      <c r="P8" s="29">
        <f t="shared" si="4"/>
        <v>1271.1596399999999</v>
      </c>
      <c r="Q8" s="29">
        <f>SUM(Q13/P13)*P8</f>
        <v>791.6616419328119</v>
      </c>
      <c r="R8" s="29">
        <f>SUM(R13/Q13)*Q8</f>
        <v>479.4979980671881</v>
      </c>
      <c r="S8" s="38">
        <f t="shared" si="5"/>
        <v>0.971309663081195</v>
      </c>
      <c r="T8" s="38">
        <f t="shared" si="6"/>
        <v>1.2647465095757695</v>
      </c>
    </row>
    <row r="9" spans="1:20" s="2" customFormat="1" ht="21.75" customHeight="1">
      <c r="A9" s="20" t="s">
        <v>58</v>
      </c>
      <c r="B9" s="28">
        <f t="shared" si="0"/>
        <v>573.44926</v>
      </c>
      <c r="C9" s="29">
        <v>426.264749</v>
      </c>
      <c r="D9" s="29">
        <v>147.184511</v>
      </c>
      <c r="E9" s="29">
        <f>SUM('Начисл.2016'!V28)/1000</f>
        <v>5442.99672</v>
      </c>
      <c r="F9" s="29">
        <f>SUM('Начисл.2016'!V27)/1000</f>
        <v>449.89231</v>
      </c>
      <c r="G9" s="29">
        <v>0</v>
      </c>
      <c r="H9" s="29">
        <v>0</v>
      </c>
      <c r="I9" s="29">
        <f t="shared" si="1"/>
        <v>5442.99672</v>
      </c>
      <c r="J9" s="29">
        <f t="shared" si="1"/>
        <v>449.89231</v>
      </c>
      <c r="K9" s="29">
        <f>SUM(L9)+'опл. нояб.'!K9</f>
        <v>5332.7428899999995</v>
      </c>
      <c r="L9" s="29">
        <v>568.2741</v>
      </c>
      <c r="M9" s="29">
        <f t="shared" si="2"/>
        <v>5332.7428899999995</v>
      </c>
      <c r="N9" s="29">
        <f>SUM(N13/M13)*M9</f>
        <v>126.57609525198832</v>
      </c>
      <c r="O9" s="29">
        <f t="shared" si="3"/>
        <v>568.2741</v>
      </c>
      <c r="P9" s="29">
        <f t="shared" si="4"/>
        <v>683.7030900000009</v>
      </c>
      <c r="Q9" s="29">
        <f>SUM(Q13/P13)*P9</f>
        <v>425.8013657701859</v>
      </c>
      <c r="R9" s="29">
        <f>SUM(R13/Q13)*Q9</f>
        <v>257.90172422981504</v>
      </c>
      <c r="S9" s="38">
        <f t="shared" si="5"/>
        <v>0.9797439102627273</v>
      </c>
      <c r="T9" s="38">
        <f t="shared" si="6"/>
        <v>1.2631336152422787</v>
      </c>
    </row>
    <row r="10" spans="1:20" s="2" customFormat="1" ht="20.25" customHeight="1">
      <c r="A10" s="20" t="s">
        <v>59</v>
      </c>
      <c r="B10" s="29">
        <f t="shared" si="0"/>
        <v>0</v>
      </c>
      <c r="C10" s="29">
        <v>0</v>
      </c>
      <c r="D10" s="29">
        <v>0</v>
      </c>
      <c r="E10" s="29">
        <f>SUM('Начисл.2016'!Y28)/1000</f>
        <v>0</v>
      </c>
      <c r="F10" s="29">
        <f>SUM('Начисл.2016'!Y27)/1000</f>
        <v>0</v>
      </c>
      <c r="G10" s="29">
        <v>0</v>
      </c>
      <c r="H10" s="29">
        <v>0</v>
      </c>
      <c r="I10" s="29">
        <f t="shared" si="1"/>
        <v>0</v>
      </c>
      <c r="J10" s="29">
        <f t="shared" si="1"/>
        <v>0</v>
      </c>
      <c r="K10" s="29">
        <f>SUM(L10)+'опл. нояб.'!K10</f>
        <v>0</v>
      </c>
      <c r="L10" s="29">
        <v>0</v>
      </c>
      <c r="M10" s="29">
        <f t="shared" si="2"/>
        <v>0</v>
      </c>
      <c r="N10" s="29">
        <f>SUM(N13/M13)*M10</f>
        <v>0</v>
      </c>
      <c r="O10" s="29">
        <f t="shared" si="3"/>
        <v>0</v>
      </c>
      <c r="P10" s="29">
        <f t="shared" si="4"/>
        <v>0</v>
      </c>
      <c r="Q10" s="29">
        <f>SUM(Q13/P13)*P10</f>
        <v>0</v>
      </c>
      <c r="R10" s="29">
        <f>SUM(P10-Q10)</f>
        <v>0</v>
      </c>
      <c r="S10" s="38">
        <v>0</v>
      </c>
      <c r="T10" s="38">
        <v>0</v>
      </c>
    </row>
    <row r="11" spans="1:20" s="2" customFormat="1" ht="21" customHeight="1">
      <c r="A11" s="20" t="s">
        <v>60</v>
      </c>
      <c r="B11" s="29">
        <f t="shared" si="0"/>
        <v>2394.04652</v>
      </c>
      <c r="C11" s="29">
        <v>1779.577916</v>
      </c>
      <c r="D11" s="29">
        <v>614.468604</v>
      </c>
      <c r="E11" s="29">
        <f>SUM('Начисл.2016'!W28)/1000</f>
        <v>27795.26879</v>
      </c>
      <c r="F11" s="29">
        <f>SUM('Начисл.2016'!W27)/1000</f>
        <v>4979.32079</v>
      </c>
      <c r="G11" s="29">
        <v>0</v>
      </c>
      <c r="H11" s="29">
        <v>0</v>
      </c>
      <c r="I11" s="29">
        <f t="shared" si="1"/>
        <v>27795.26879</v>
      </c>
      <c r="J11" s="29">
        <f t="shared" si="1"/>
        <v>4979.32079</v>
      </c>
      <c r="K11" s="29">
        <f>SUM(L11)+'опл. нояб.'!K11</f>
        <v>26253.736979999998</v>
      </c>
      <c r="L11" s="29">
        <v>5145.97426</v>
      </c>
      <c r="M11" s="29">
        <f t="shared" si="2"/>
        <v>26253.736979999998</v>
      </c>
      <c r="N11" s="29">
        <f>SUM(N13/M13)*M11</f>
        <v>623.1493963327245</v>
      </c>
      <c r="O11" s="29">
        <f t="shared" si="3"/>
        <v>5145.97426</v>
      </c>
      <c r="P11" s="29">
        <f t="shared" si="4"/>
        <v>3935.5783300000003</v>
      </c>
      <c r="Q11" s="29">
        <f>SUM(Q13/P13)*P11</f>
        <v>2451.0268455998134</v>
      </c>
      <c r="R11" s="29">
        <f>SUM(R13/Q13)*Q11</f>
        <v>1484.5514844001873</v>
      </c>
      <c r="S11" s="38">
        <f t="shared" si="5"/>
        <v>0.9445397768358835</v>
      </c>
      <c r="T11" s="38">
        <f t="shared" si="6"/>
        <v>1.0334691169797077</v>
      </c>
    </row>
    <row r="12" spans="1:20" s="2" customFormat="1" ht="21" customHeight="1">
      <c r="A12" s="20" t="s">
        <v>115</v>
      </c>
      <c r="B12" s="29">
        <v>0</v>
      </c>
      <c r="C12" s="29">
        <v>0</v>
      </c>
      <c r="D12" s="29">
        <v>0</v>
      </c>
      <c r="E12" s="29">
        <f>SUM('Начисл.2016'!Z28)/1000</f>
        <v>1711.21568</v>
      </c>
      <c r="F12" s="29">
        <f>SUM('Начисл.2016'!Z27)/1000</f>
        <v>936.84232</v>
      </c>
      <c r="G12" s="29"/>
      <c r="H12" s="29"/>
      <c r="I12" s="29">
        <f t="shared" si="1"/>
        <v>1711.21568</v>
      </c>
      <c r="J12" s="29">
        <f t="shared" si="1"/>
        <v>936.84232</v>
      </c>
      <c r="K12" s="29">
        <f>SUM(L12)+'опл. нояб.'!K12</f>
        <v>1209.2981599999998</v>
      </c>
      <c r="L12" s="29">
        <v>678.34097</v>
      </c>
      <c r="M12" s="29">
        <f>SUM(K12)</f>
        <v>1209.2981599999998</v>
      </c>
      <c r="N12" s="29">
        <f>SUM(N13/M13)*M12</f>
        <v>28.703472536665686</v>
      </c>
      <c r="O12" s="29">
        <f>SUM(L12)</f>
        <v>678.34097</v>
      </c>
      <c r="P12" s="29">
        <f>SUM(B12+E12-K12)</f>
        <v>501.9175200000002</v>
      </c>
      <c r="Q12" s="29">
        <f>SUM(Q13/P13)*P12</f>
        <v>312.5876841071238</v>
      </c>
      <c r="R12" s="29">
        <f>SUM(R13/Q13)*Q12</f>
        <v>189.3298358928765</v>
      </c>
      <c r="S12" s="38">
        <f>SUM((K12)/(E12))</f>
        <v>0.7066895039203941</v>
      </c>
      <c r="T12" s="38">
        <f>SUM((L12/J12))</f>
        <v>0.7240716559431261</v>
      </c>
    </row>
    <row r="13" spans="1:20" s="3" customFormat="1" ht="24" customHeight="1">
      <c r="A13" s="21" t="s">
        <v>61</v>
      </c>
      <c r="B13" s="26">
        <f>SUM(B6)+B7</f>
        <v>5988.27115</v>
      </c>
      <c r="C13" s="27">
        <f>SUM(C6)+C7</f>
        <v>4451.289898999999</v>
      </c>
      <c r="D13" s="27">
        <f>SUM(D6)+D7</f>
        <v>1536.9812510000002</v>
      </c>
      <c r="E13" s="27">
        <f>SUM('Начисл.2016'!AH28)/1000</f>
        <v>70792.48395000001</v>
      </c>
      <c r="F13" s="27">
        <f>SUM('Начисл.2016'!AH27)/1000</f>
        <v>9451.55058</v>
      </c>
      <c r="G13" s="27">
        <v>0</v>
      </c>
      <c r="H13" s="27">
        <v>0</v>
      </c>
      <c r="I13" s="27">
        <f t="shared" si="1"/>
        <v>70792.48395000001</v>
      </c>
      <c r="J13" s="27">
        <f t="shared" si="1"/>
        <v>9451.55058</v>
      </c>
      <c r="K13" s="27">
        <f>SUM('Начисл.2016'!AI28)/1000</f>
        <v>67738.75958000001</v>
      </c>
      <c r="L13" s="27">
        <f>SUM('Начисл.2016'!AI27)/1000</f>
        <v>10111.355109999999</v>
      </c>
      <c r="M13" s="27">
        <f t="shared" si="2"/>
        <v>67738.75958000001</v>
      </c>
      <c r="N13" s="27">
        <f>SUM(N38)</f>
        <v>1607.82319</v>
      </c>
      <c r="O13" s="27">
        <f t="shared" si="3"/>
        <v>10111.355109999999</v>
      </c>
      <c r="P13" s="27">
        <f t="shared" si="4"/>
        <v>9041.995519999997</v>
      </c>
      <c r="Q13" s="27">
        <f>SUM(P13-R13)</f>
        <v>5631.236859999997</v>
      </c>
      <c r="R13" s="27">
        <f>SUM(T45)/1000</f>
        <v>3410.75866</v>
      </c>
      <c r="S13" s="38">
        <f t="shared" si="5"/>
        <v>0.9568637205588547</v>
      </c>
      <c r="T13" s="38">
        <f t="shared" si="6"/>
        <v>1.0698091307257227</v>
      </c>
    </row>
    <row r="14" spans="1:20" s="3" customFormat="1" ht="24" customHeight="1">
      <c r="A14" s="49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  <c r="T14" s="52"/>
    </row>
    <row r="16" ht="12.75">
      <c r="A16" t="s">
        <v>34</v>
      </c>
    </row>
    <row r="17" ht="12.75">
      <c r="A17" t="s">
        <v>35</v>
      </c>
    </row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>
      <c r="N26">
        <f>SUM('опл. сентяб.'!N26)</f>
        <v>64.25493</v>
      </c>
    </row>
    <row r="27" ht="12.75" hidden="1">
      <c r="N27">
        <f>SUM('опл. сентяб.'!N27)</f>
        <v>122.42421</v>
      </c>
    </row>
    <row r="28" ht="12.75" hidden="1">
      <c r="N28">
        <f>SUM('опл. сентяб.'!N28)</f>
        <v>191.12239</v>
      </c>
    </row>
    <row r="29" ht="12.75" hidden="1">
      <c r="N29">
        <f>SUM('опл. сентяб.'!N29)</f>
        <v>224.8662</v>
      </c>
    </row>
    <row r="30" ht="12.75" hidden="1">
      <c r="N30">
        <f>SUM('опл. сентяб.'!N30)</f>
        <v>123.86081</v>
      </c>
    </row>
    <row r="31" ht="12.75" hidden="1">
      <c r="N31">
        <f>SUM('опл. сентяб.'!N31)</f>
        <v>59.06443</v>
      </c>
    </row>
    <row r="32" ht="12.75" hidden="1">
      <c r="N32">
        <f>SUM('опл. сентяб.'!N32)</f>
        <v>33.96069</v>
      </c>
    </row>
    <row r="33" ht="12.75" hidden="1">
      <c r="N33">
        <f>SUM('опл. сентяб.'!N33)</f>
        <v>64.22679</v>
      </c>
    </row>
    <row r="34" spans="2:19" ht="12.75" hidden="1">
      <c r="B34">
        <f>SUM(B7,B6)</f>
        <v>5988.27115</v>
      </c>
      <c r="C34" s="36">
        <f>SUM(C7,C6)</f>
        <v>4451.289898999999</v>
      </c>
      <c r="D34">
        <f>SUM(D7,D6)</f>
        <v>1536.9812510000002</v>
      </c>
      <c r="E34" s="30">
        <f>SUM(E8:E12,E6)</f>
        <v>70792.48395000001</v>
      </c>
      <c r="F34" s="30">
        <f>SUM(F8:F12,F6)</f>
        <v>9451.55058</v>
      </c>
      <c r="G34" s="31">
        <v>0</v>
      </c>
      <c r="H34" s="31">
        <v>0</v>
      </c>
      <c r="I34" s="30">
        <f>SUM(I8:I12,I6)</f>
        <v>70792.48395000001</v>
      </c>
      <c r="J34" s="30">
        <f>SUM(J8:J12,J6)</f>
        <v>9451.55058</v>
      </c>
      <c r="K34" s="30">
        <f>SUM(K8:K12,K6)</f>
        <v>67738.75958</v>
      </c>
      <c r="L34" s="30">
        <f>SUM(L8:L12,L6)</f>
        <v>10111.355109999999</v>
      </c>
      <c r="M34" s="31">
        <f>SUM('Начисл.2016'!AI28)/1000</f>
        <v>67738.75958000001</v>
      </c>
      <c r="N34">
        <f>SUM('опл. сентяб.'!N34)</f>
        <v>115.1288</v>
      </c>
      <c r="O34" s="31">
        <f>SUM('Начисл.2016'!AI27)/1000</f>
        <v>10111.355109999999</v>
      </c>
      <c r="P34" s="33">
        <f>SUM('Начисл.2016'!AJ28)/1000</f>
        <v>9041.935809999988</v>
      </c>
      <c r="Q34" s="33">
        <f>SUM(Q13)</f>
        <v>5631.236859999997</v>
      </c>
      <c r="R34" s="30">
        <f>SUM(R8:R12,R6)</f>
        <v>3410.75866</v>
      </c>
      <c r="S34" s="31"/>
    </row>
    <row r="35" spans="2:19" ht="12.75" hidden="1">
      <c r="B35">
        <f>SUM(B8:B11,B6)</f>
        <v>5988.27115</v>
      </c>
      <c r="C35" s="36">
        <f>SUM(C8:C11,C6)</f>
        <v>4451.289898999999</v>
      </c>
      <c r="D35">
        <f>SUM(D8:D11,D6)</f>
        <v>1536.9812510000002</v>
      </c>
      <c r="E35" s="30">
        <f>SUM(E34-E13)</f>
        <v>0</v>
      </c>
      <c r="F35" s="30">
        <f>SUM(F34-F13)</f>
        <v>0</v>
      </c>
      <c r="G35" s="31">
        <v>0</v>
      </c>
      <c r="H35" s="31">
        <v>0</v>
      </c>
      <c r="I35" s="30">
        <f>SUM(I13-I34)</f>
        <v>0</v>
      </c>
      <c r="J35" s="30">
        <f>SUM(J13-J34)</f>
        <v>0</v>
      </c>
      <c r="K35" s="30">
        <f>SUM(K13-K34)</f>
        <v>1.4551915228366852E-11</v>
      </c>
      <c r="L35" s="30">
        <f>SUM(L13-L34)</f>
        <v>0</v>
      </c>
      <c r="M35" s="30">
        <f>SUM(M13-M34)</f>
        <v>0</v>
      </c>
      <c r="N35" s="31"/>
      <c r="O35" s="30">
        <f>SUM(O13-O34)</f>
        <v>0</v>
      </c>
      <c r="P35" s="33">
        <f>SUM(P7,P6)</f>
        <v>9041.995520000008</v>
      </c>
      <c r="Q35" s="30">
        <f>SUM(Q13-Q34)</f>
        <v>0</v>
      </c>
      <c r="R35" s="30">
        <f>SUM(R13-R34)</f>
        <v>0</v>
      </c>
      <c r="S35" s="31"/>
    </row>
    <row r="36" spans="5:19" ht="12.75" hidden="1">
      <c r="E36" s="31"/>
      <c r="F36" s="31"/>
      <c r="G36" s="31"/>
      <c r="H36" s="31"/>
      <c r="I36" s="31"/>
      <c r="J36" s="31"/>
      <c r="K36" s="31"/>
      <c r="L36" s="31">
        <f>SUM(L34-L35)</f>
        <v>10111.355109999999</v>
      </c>
      <c r="M36" s="31"/>
      <c r="N36" s="31">
        <f>SUM('опл. нояб.'!N37)</f>
        <v>325.59406</v>
      </c>
      <c r="O36" s="31"/>
      <c r="P36" s="33">
        <f>SUM(P34-P35)</f>
        <v>-0.059710000019549625</v>
      </c>
      <c r="Q36" s="33">
        <f>SUM(Q7,Q6)</f>
        <v>5631.236859999997</v>
      </c>
      <c r="R36" s="31"/>
      <c r="S36" s="31"/>
    </row>
    <row r="37" spans="5:19" ht="12.75" hidden="1">
      <c r="E37" s="31"/>
      <c r="F37" s="31"/>
      <c r="G37" s="31"/>
      <c r="H37" s="31"/>
      <c r="I37" s="31"/>
      <c r="J37" s="31"/>
      <c r="K37" s="31"/>
      <c r="L37" s="31"/>
      <c r="M37" s="31"/>
      <c r="N37" s="31">
        <v>283.31988</v>
      </c>
      <c r="O37" s="31"/>
      <c r="P37" s="33"/>
      <c r="Q37" s="33"/>
      <c r="R37" s="31"/>
      <c r="S37" s="31"/>
    </row>
    <row r="38" spans="5:19" ht="12.75" hidden="1">
      <c r="E38" s="31"/>
      <c r="F38" s="31"/>
      <c r="G38" s="31"/>
      <c r="H38" s="31"/>
      <c r="I38" s="31"/>
      <c r="J38" s="31"/>
      <c r="K38" s="31"/>
      <c r="L38" s="31"/>
      <c r="M38" s="31"/>
      <c r="N38" s="31">
        <f>SUM(N25:N37)</f>
        <v>1607.82319</v>
      </c>
      <c r="O38" s="31"/>
      <c r="P38" s="31"/>
      <c r="Q38" s="31"/>
      <c r="R38" s="31"/>
      <c r="S38" s="31"/>
    </row>
    <row r="39" spans="5:19" ht="12.75" hidden="1">
      <c r="E39" s="31"/>
      <c r="F39" s="31"/>
      <c r="G39" s="31"/>
      <c r="H39" s="31"/>
      <c r="I39" s="31"/>
      <c r="J39" s="31"/>
      <c r="K39" s="31"/>
      <c r="L39" s="31"/>
      <c r="M39" s="31"/>
      <c r="N39" s="32"/>
      <c r="O39" s="31"/>
      <c r="P39" s="31"/>
      <c r="Q39" s="31"/>
      <c r="R39" s="31"/>
      <c r="S39" s="31"/>
    </row>
    <row r="40" spans="5:19" ht="12.75" hidden="1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5:19" ht="12.75" hidden="1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ht="12.75" hidden="1"/>
    <row r="43" ht="12.75" hidden="1">
      <c r="T43" s="31" t="s">
        <v>3</v>
      </c>
    </row>
    <row r="44" spans="19:20" ht="12.75" hidden="1">
      <c r="S44">
        <f>SUM(T44:W44)</f>
        <v>5843495.49</v>
      </c>
      <c r="T44" s="46">
        <v>5843495.49</v>
      </c>
    </row>
    <row r="45" spans="20:21" ht="12.75" hidden="1">
      <c r="T45" s="95">
        <v>3410758.66</v>
      </c>
      <c r="U45" t="s">
        <v>92</v>
      </c>
    </row>
    <row r="46" ht="12.75" hidden="1"/>
    <row r="47" ht="12.75" hidden="1"/>
  </sheetData>
  <sheetProtection/>
  <mergeCells count="26">
    <mergeCell ref="A1:T1"/>
    <mergeCell ref="A3:A5"/>
    <mergeCell ref="B3:D3"/>
    <mergeCell ref="E3:F3"/>
    <mergeCell ref="G3:H3"/>
    <mergeCell ref="I3:J3"/>
    <mergeCell ref="K3:L3"/>
    <mergeCell ref="M3:O3"/>
    <mergeCell ref="P3:R3"/>
    <mergeCell ref="S3:T3"/>
    <mergeCell ref="B4:B5"/>
    <mergeCell ref="C4:D4"/>
    <mergeCell ref="E4:E5"/>
    <mergeCell ref="F4:F5"/>
    <mergeCell ref="G4:G5"/>
    <mergeCell ref="H4:H5"/>
    <mergeCell ref="P4:P5"/>
    <mergeCell ref="Q4:R4"/>
    <mergeCell ref="S4:S5"/>
    <mergeCell ref="T4:T5"/>
    <mergeCell ref="I4:I5"/>
    <mergeCell ref="J4:J5"/>
    <mergeCell ref="K4:K5"/>
    <mergeCell ref="L4:L5"/>
    <mergeCell ref="M4:N4"/>
    <mergeCell ref="O4:O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37"/>
  <sheetViews>
    <sheetView tabSelected="1" zoomScalePageLayoutView="0" workbookViewId="0" topLeftCell="A1">
      <selection activeCell="AI7" sqref="AI7"/>
    </sheetView>
  </sheetViews>
  <sheetFormatPr defaultColWidth="9.140625" defaultRowHeight="12.75"/>
  <cols>
    <col min="1" max="1" width="17.28125" style="0" customWidth="1"/>
    <col min="2" max="2" width="6.57421875" style="0" customWidth="1"/>
    <col min="3" max="3" width="6.7109375" style="0" customWidth="1"/>
    <col min="4" max="4" width="7.00390625" style="0" customWidth="1"/>
    <col min="5" max="5" width="9.00390625" style="0" customWidth="1"/>
    <col min="6" max="17" width="7.28125" style="0" customWidth="1"/>
    <col min="18" max="18" width="11.57421875" style="0" bestFit="1" customWidth="1"/>
    <col min="19" max="19" width="11.8515625" style="0" customWidth="1"/>
    <col min="20" max="30" width="7.00390625" style="0" customWidth="1"/>
    <col min="31" max="31" width="7.28125" style="0" customWidth="1"/>
    <col min="32" max="32" width="11.57421875" style="76" bestFit="1" customWidth="1"/>
    <col min="33" max="33" width="11.421875" style="0" customWidth="1"/>
    <col min="34" max="34" width="8.8515625" style="76" customWidth="1"/>
    <col min="35" max="35" width="9.8515625" style="76" customWidth="1"/>
    <col min="36" max="36" width="12.7109375" style="76" customWidth="1"/>
    <col min="37" max="48" width="9.8515625" style="0" customWidth="1"/>
  </cols>
  <sheetData>
    <row r="1" spans="1:36" s="2" customFormat="1" ht="15.75" customHeight="1">
      <c r="A1" s="110" t="s">
        <v>113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AF1" s="74"/>
      <c r="AH1" s="74"/>
      <c r="AI1" s="74"/>
      <c r="AJ1" s="74"/>
    </row>
    <row r="2" spans="18:36" s="2" customFormat="1" ht="12.75">
      <c r="R2" s="54" t="s">
        <v>85</v>
      </c>
      <c r="AF2" s="74"/>
      <c r="AH2" s="74"/>
      <c r="AI2" s="74"/>
      <c r="AJ2" s="74"/>
    </row>
    <row r="3" spans="1:48" s="2" customFormat="1" ht="51" customHeight="1">
      <c r="A3" s="107" t="s">
        <v>40</v>
      </c>
      <c r="B3" s="107" t="s">
        <v>41</v>
      </c>
      <c r="C3" s="107"/>
      <c r="D3" s="107"/>
      <c r="E3" s="107" t="s">
        <v>75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11" t="s">
        <v>76</v>
      </c>
      <c r="S3" s="107" t="s">
        <v>45</v>
      </c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11" t="s">
        <v>76</v>
      </c>
      <c r="AG3" s="107" t="s">
        <v>47</v>
      </c>
      <c r="AH3" s="107"/>
      <c r="AI3" s="107"/>
      <c r="AJ3" s="114" t="s">
        <v>33</v>
      </c>
      <c r="AK3" s="107" t="s">
        <v>77</v>
      </c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</row>
    <row r="4" spans="1:48" s="2" customFormat="1" ht="21" customHeight="1">
      <c r="A4" s="107"/>
      <c r="B4" s="107" t="s">
        <v>33</v>
      </c>
      <c r="C4" s="107" t="s">
        <v>15</v>
      </c>
      <c r="D4" s="107"/>
      <c r="E4" s="107" t="s">
        <v>48</v>
      </c>
      <c r="F4" s="107" t="s">
        <v>78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12"/>
      <c r="S4" s="107" t="s">
        <v>48</v>
      </c>
      <c r="T4" s="107" t="s">
        <v>78</v>
      </c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12"/>
      <c r="AG4" s="107" t="s">
        <v>33</v>
      </c>
      <c r="AH4" s="114" t="s">
        <v>15</v>
      </c>
      <c r="AI4" s="114"/>
      <c r="AJ4" s="114"/>
      <c r="AK4" s="107" t="s">
        <v>78</v>
      </c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</row>
    <row r="5" spans="1:48" s="2" customFormat="1" ht="69" customHeight="1">
      <c r="A5" s="107"/>
      <c r="B5" s="107"/>
      <c r="C5" s="22" t="s">
        <v>52</v>
      </c>
      <c r="D5" s="22" t="s">
        <v>53</v>
      </c>
      <c r="E5" s="107"/>
      <c r="F5" s="22" t="s">
        <v>16</v>
      </c>
      <c r="G5" s="22" t="s">
        <v>65</v>
      </c>
      <c r="H5" s="22" t="s">
        <v>67</v>
      </c>
      <c r="I5" s="22" t="s">
        <v>69</v>
      </c>
      <c r="J5" s="22" t="s">
        <v>71</v>
      </c>
      <c r="K5" s="22" t="s">
        <v>73</v>
      </c>
      <c r="L5" s="22" t="s">
        <v>79</v>
      </c>
      <c r="M5" s="22" t="s">
        <v>80</v>
      </c>
      <c r="N5" s="22" t="s">
        <v>81</v>
      </c>
      <c r="O5" s="22" t="s">
        <v>82</v>
      </c>
      <c r="P5" s="22" t="s">
        <v>83</v>
      </c>
      <c r="Q5" s="22" t="s">
        <v>84</v>
      </c>
      <c r="R5" s="113"/>
      <c r="S5" s="107"/>
      <c r="T5" s="22" t="s">
        <v>16</v>
      </c>
      <c r="U5" s="22" t="s">
        <v>65</v>
      </c>
      <c r="V5" s="22" t="s">
        <v>67</v>
      </c>
      <c r="W5" s="22" t="s">
        <v>69</v>
      </c>
      <c r="X5" s="22" t="s">
        <v>71</v>
      </c>
      <c r="Y5" s="22" t="s">
        <v>73</v>
      </c>
      <c r="Z5" s="22" t="s">
        <v>79</v>
      </c>
      <c r="AA5" s="22" t="s">
        <v>80</v>
      </c>
      <c r="AB5" s="22" t="s">
        <v>81</v>
      </c>
      <c r="AC5" s="22" t="s">
        <v>82</v>
      </c>
      <c r="AD5" s="22" t="s">
        <v>83</v>
      </c>
      <c r="AE5" s="22" t="s">
        <v>84</v>
      </c>
      <c r="AF5" s="113"/>
      <c r="AG5" s="107"/>
      <c r="AH5" s="77" t="s">
        <v>52</v>
      </c>
      <c r="AI5" s="77" t="s">
        <v>53</v>
      </c>
      <c r="AJ5" s="114"/>
      <c r="AK5" s="1" t="s">
        <v>16</v>
      </c>
      <c r="AL5" s="1" t="s">
        <v>65</v>
      </c>
      <c r="AM5" s="1" t="s">
        <v>67</v>
      </c>
      <c r="AN5" s="1" t="s">
        <v>69</v>
      </c>
      <c r="AO5" s="1" t="s">
        <v>71</v>
      </c>
      <c r="AP5" s="1" t="s">
        <v>73</v>
      </c>
      <c r="AQ5" s="1" t="s">
        <v>79</v>
      </c>
      <c r="AR5" s="1" t="s">
        <v>80</v>
      </c>
      <c r="AS5" s="1" t="s">
        <v>81</v>
      </c>
      <c r="AT5" s="1" t="s">
        <v>82</v>
      </c>
      <c r="AU5" s="1" t="s">
        <v>83</v>
      </c>
      <c r="AV5" s="1" t="s">
        <v>84</v>
      </c>
    </row>
    <row r="6" spans="1:48" s="3" customFormat="1" ht="29.25" customHeight="1">
      <c r="A6" s="56" t="s">
        <v>55</v>
      </c>
      <c r="B6" s="57">
        <f>SUM('опл. июнь'!B6)</f>
        <v>2037.0782399999998</v>
      </c>
      <c r="C6" s="57">
        <f>SUM('опл. июнь'!C6)</f>
        <v>1514.230997</v>
      </c>
      <c r="D6" s="57">
        <f>SUM('опл. июнь'!D6)</f>
        <v>522.847243</v>
      </c>
      <c r="E6" s="57">
        <f aca="true" t="shared" si="0" ref="E6:E12">SUM(F6:Q6)</f>
        <v>25823.33393</v>
      </c>
      <c r="F6" s="57">
        <f>SUM('опл. янв.16'!F6)</f>
        <v>2073.5895899999996</v>
      </c>
      <c r="G6" s="57">
        <f>SUM('опл.фев.16'!F6)</f>
        <v>2080.49658</v>
      </c>
      <c r="H6" s="57">
        <f>SUM('опл. март'!F6)-56.996</f>
        <v>2076.3151000000007</v>
      </c>
      <c r="I6" s="57">
        <f>SUM('опл. апр.'!F6)-63.471</f>
        <v>2073.4547499999994</v>
      </c>
      <c r="J6" s="57">
        <f>SUM('опл.май'!F6)-50.914</f>
        <v>2076.0897599999994</v>
      </c>
      <c r="K6" s="57">
        <f>SUM('опл. июнь'!F6)-54.478</f>
        <v>2105.4259700000002</v>
      </c>
      <c r="L6" s="57">
        <f>SUM('опл. Июль'!J6)-52.81</f>
        <v>2239.07863</v>
      </c>
      <c r="M6" s="57">
        <f>SUM('опл. авг.'!J6)-51.239</f>
        <v>2243.80337</v>
      </c>
      <c r="N6" s="57">
        <f>SUM('опл. сентяб.'!J6)-64.2</f>
        <v>2239.2191700000003</v>
      </c>
      <c r="O6" s="56">
        <f>SUM('опл. окт.'!J6)</f>
        <v>2209.95006</v>
      </c>
      <c r="P6" s="56">
        <f>SUM('опл. нояб.'!F6)</f>
        <v>2202.785610000001</v>
      </c>
      <c r="Q6" s="56">
        <f>SUM('опл. дек.'!F6)</f>
        <v>2203.1253399999996</v>
      </c>
      <c r="R6" s="73">
        <f>SUM('опл. дек.'!I6)</f>
        <v>25823.51394000001</v>
      </c>
      <c r="S6" s="57">
        <f>SUM(T6:AE6)</f>
        <v>25210.967239999998</v>
      </c>
      <c r="T6" s="57">
        <f>SUM('опл. янв.16'!L6)</f>
        <v>1002.1639599999999</v>
      </c>
      <c r="U6" s="57">
        <f>SUM('опл.фев.16'!L6)</f>
        <v>2024.9167500000003</v>
      </c>
      <c r="V6" s="57">
        <f>SUM('опл. март'!L6)-12.23</f>
        <v>2617.026000000001</v>
      </c>
      <c r="W6" s="57">
        <f>SUM('опл. апр.'!L6)-60.832</f>
        <v>1826.7689800000005</v>
      </c>
      <c r="X6" s="57">
        <f>SUM('опл.май'!L6)-50.84</f>
        <v>2151.8920399999997</v>
      </c>
      <c r="Y6" s="56">
        <f>SUM('опл. июнь'!L6)-50.884</f>
        <v>2202.50397</v>
      </c>
      <c r="Z6" s="56">
        <f>SUM('опл. Июль'!L6)-52.293</f>
        <v>1886.0116699999999</v>
      </c>
      <c r="AA6" s="57">
        <f>SUM('опл. авг.'!L6)-59.462</f>
        <v>2476.57584</v>
      </c>
      <c r="AB6" s="57">
        <f>SUM('опл. сентяб.'!L6)-49.447</f>
        <v>2134.05505</v>
      </c>
      <c r="AC6" s="57">
        <f>SUM('опл. окт.'!L6)</f>
        <v>2255.747299999999</v>
      </c>
      <c r="AD6" s="57">
        <f>SUM('опл. нояб.'!L6)</f>
        <v>2030.5140499999998</v>
      </c>
      <c r="AE6" s="57">
        <f>SUM('опл. дек.'!L6)</f>
        <v>2602.791629999999</v>
      </c>
      <c r="AF6" s="73">
        <f>SUM('опл. дек.'!K6)</f>
        <v>25210.955240000003</v>
      </c>
      <c r="AG6" s="57">
        <f>SUM(B6,E6)-S6</f>
        <v>2649.4449300000015</v>
      </c>
      <c r="AH6" s="73">
        <f>SUM('опл. дек.'!Q6)</f>
        <v>1650.1593225900624</v>
      </c>
      <c r="AI6" s="73">
        <f>SUM('опл. дек.'!R6)</f>
        <v>999.4776174099334</v>
      </c>
      <c r="AJ6" s="79">
        <f>SUM(S6)/E6</f>
        <v>0.9762863040202338</v>
      </c>
      <c r="AK6" s="58">
        <f>SUM(T6)/F6</f>
        <v>0.4832990890931315</v>
      </c>
      <c r="AL6" s="58">
        <f>SUM(U6)/G6</f>
        <v>0.973285305760993</v>
      </c>
      <c r="AM6" s="59">
        <f>SUM(V6)/H6</f>
        <v>1.260418517401333</v>
      </c>
      <c r="AN6" s="59">
        <f aca="true" t="shared" si="1" ref="AN6:AR12">SUM(W6)/I6</f>
        <v>0.8810266922873533</v>
      </c>
      <c r="AO6" s="59">
        <f t="shared" si="1"/>
        <v>1.036512043679653</v>
      </c>
      <c r="AP6" s="59">
        <f t="shared" si="1"/>
        <v>1.0461084841657957</v>
      </c>
      <c r="AQ6" s="59">
        <f t="shared" si="1"/>
        <v>0.8423159619008109</v>
      </c>
      <c r="AR6" s="59">
        <f t="shared" si="1"/>
        <v>1.1037401374435052</v>
      </c>
      <c r="AS6" s="59">
        <f aca="true" t="shared" si="2" ref="AS6:AS12">SUM(AB6)/N6</f>
        <v>0.9530353609825516</v>
      </c>
      <c r="AT6" s="72">
        <f aca="true" t="shared" si="3" ref="AT6:AV12">SUM(AC6)/O6</f>
        <v>1.0207232013197616</v>
      </c>
      <c r="AU6" s="72">
        <f t="shared" si="3"/>
        <v>0.9217937691176397</v>
      </c>
      <c r="AV6" s="72">
        <f t="shared" si="3"/>
        <v>1.1814087844861334</v>
      </c>
    </row>
    <row r="7" spans="1:48" s="3" customFormat="1" ht="51.75" customHeight="1">
      <c r="A7" s="56" t="s">
        <v>56</v>
      </c>
      <c r="B7" s="57">
        <f>SUM('опл. июнь'!B7)</f>
        <v>3951.1929099999998</v>
      </c>
      <c r="C7" s="57">
        <f>SUM('опл. июнь'!C7)</f>
        <v>2937.0589019999998</v>
      </c>
      <c r="D7" s="57">
        <f>SUM('опл. июнь'!D7)</f>
        <v>1014.134008</v>
      </c>
      <c r="E7" s="57">
        <f t="shared" si="0"/>
        <v>44968.97001999999</v>
      </c>
      <c r="F7" s="57">
        <f>SUM(F8:F11)</f>
        <v>6857.73258</v>
      </c>
      <c r="G7" s="57">
        <f>SUM(G8:G11)</f>
        <v>5420.25179</v>
      </c>
      <c r="H7" s="57">
        <f aca="true" t="shared" si="4" ref="H7:Q7">SUM(H8:H11)</f>
        <v>4611.39268</v>
      </c>
      <c r="I7" s="57">
        <f t="shared" si="4"/>
        <v>3861.6761</v>
      </c>
      <c r="J7" s="57">
        <f t="shared" si="4"/>
        <v>1373.2577499999998</v>
      </c>
      <c r="K7" s="57">
        <f t="shared" si="4"/>
        <v>1213.04078</v>
      </c>
      <c r="L7" s="57">
        <f t="shared" si="4"/>
        <v>1435.2053099999998</v>
      </c>
      <c r="M7" s="57">
        <f t="shared" si="4"/>
        <v>1445.0737100000001</v>
      </c>
      <c r="N7" s="57">
        <f t="shared" si="4"/>
        <v>1473.4957399999998</v>
      </c>
      <c r="O7" s="57">
        <f t="shared" si="4"/>
        <v>4050.2517</v>
      </c>
      <c r="P7" s="57">
        <f t="shared" si="4"/>
        <v>5979.1666399999995</v>
      </c>
      <c r="Q7" s="57">
        <f t="shared" si="4"/>
        <v>7248.42524</v>
      </c>
      <c r="R7" s="73">
        <f>SUM('опл. дек.'!I7)</f>
        <v>44968.97001</v>
      </c>
      <c r="S7" s="57">
        <f>SUM(S8:S11)</f>
        <v>42527.79234</v>
      </c>
      <c r="T7" s="57">
        <f aca="true" t="shared" si="5" ref="T7:AE7">SUM(T8:T11)</f>
        <v>2639.9694900000004</v>
      </c>
      <c r="U7" s="57">
        <f t="shared" si="5"/>
        <v>6051.09884</v>
      </c>
      <c r="V7" s="57">
        <f t="shared" si="5"/>
        <v>6351.30596</v>
      </c>
      <c r="W7" s="57">
        <f t="shared" si="5"/>
        <v>3846.75746</v>
      </c>
      <c r="X7" s="57">
        <f t="shared" si="5"/>
        <v>2976.15105</v>
      </c>
      <c r="Y7" s="56">
        <f t="shared" si="5"/>
        <v>1674.47809</v>
      </c>
      <c r="Z7" s="56">
        <f t="shared" si="5"/>
        <v>1338.1789399999998</v>
      </c>
      <c r="AA7" s="57">
        <f t="shared" si="5"/>
        <v>1688.08977</v>
      </c>
      <c r="AB7" s="57">
        <f t="shared" si="5"/>
        <v>1493.26167</v>
      </c>
      <c r="AC7" s="57">
        <f t="shared" si="5"/>
        <v>2728.2882600000003</v>
      </c>
      <c r="AD7" s="57">
        <f t="shared" si="5"/>
        <v>4231.64933</v>
      </c>
      <c r="AE7" s="57">
        <f t="shared" si="5"/>
        <v>7508.56348</v>
      </c>
      <c r="AF7" s="73">
        <f>SUM('опл. дек.'!K7)</f>
        <v>42527.804339999995</v>
      </c>
      <c r="AG7" s="57">
        <f>SUM(AG8:AG11)</f>
        <v>6392.358580000003</v>
      </c>
      <c r="AH7" s="73">
        <f>SUM('опл. дек.'!Q7)</f>
        <v>3981.077537409935</v>
      </c>
      <c r="AI7" s="73">
        <f>SUM('опл. дек.'!R7)</f>
        <v>2411.2810425900666</v>
      </c>
      <c r="AJ7" s="79">
        <f aca="true" t="shared" si="6" ref="AJ7:AJ12">SUM(S7)/E7</f>
        <v>0.9457141740423612</v>
      </c>
      <c r="AK7" s="58">
        <f aca="true" t="shared" si="7" ref="AK7:AM12">SUM(T7)/F7</f>
        <v>0.38496244337366686</v>
      </c>
      <c r="AL7" s="58">
        <f t="shared" si="7"/>
        <v>1.116387037805858</v>
      </c>
      <c r="AM7" s="59">
        <f t="shared" si="7"/>
        <v>1.377307551262366</v>
      </c>
      <c r="AN7" s="59">
        <f t="shared" si="1"/>
        <v>0.9961367448709642</v>
      </c>
      <c r="AO7" s="59">
        <f t="shared" si="1"/>
        <v>2.1672195551053695</v>
      </c>
      <c r="AP7" s="59">
        <f t="shared" si="1"/>
        <v>1.380397194890678</v>
      </c>
      <c r="AQ7" s="59">
        <f t="shared" si="1"/>
        <v>0.9323954772714713</v>
      </c>
      <c r="AR7" s="59">
        <f t="shared" si="1"/>
        <v>1.168168625806638</v>
      </c>
      <c r="AS7" s="59">
        <f t="shared" si="2"/>
        <v>1.0134143109229485</v>
      </c>
      <c r="AT7" s="72">
        <f t="shared" si="3"/>
        <v>0.6736095586355783</v>
      </c>
      <c r="AU7" s="72">
        <f t="shared" si="3"/>
        <v>0.7077322952818723</v>
      </c>
      <c r="AV7" s="72">
        <f t="shared" si="3"/>
        <v>1.0358889319247502</v>
      </c>
    </row>
    <row r="8" spans="1:48" s="2" customFormat="1" ht="25.5" customHeight="1">
      <c r="A8" s="1" t="s">
        <v>57</v>
      </c>
      <c r="B8" s="60">
        <f>SUM('опл. июнь'!B8)</f>
        <v>983.69713</v>
      </c>
      <c r="C8" s="60">
        <f>SUM('опл. июнь'!C8)</f>
        <v>731.216237</v>
      </c>
      <c r="D8" s="60">
        <f>SUM('опл. июнь'!D8)</f>
        <v>252.480893</v>
      </c>
      <c r="E8" s="57">
        <f t="shared" si="0"/>
        <v>10019.488819999999</v>
      </c>
      <c r="F8" s="61">
        <f>SUM('опл. янв.16'!F8)</f>
        <v>787.24374</v>
      </c>
      <c r="G8" s="61">
        <f>SUM('опл.фев.16'!F8)</f>
        <v>766.43042</v>
      </c>
      <c r="H8" s="61">
        <f>SUM('опл. март'!J8)</f>
        <v>714.1182299999999</v>
      </c>
      <c r="I8" s="61">
        <f>SUM('опл. апр.'!F8)</f>
        <v>795.32424</v>
      </c>
      <c r="J8" s="61">
        <f>SUM('опл.май'!F8)</f>
        <v>734.5</v>
      </c>
      <c r="K8" s="61">
        <f>SUM('опл. июнь'!F8)</f>
        <v>735.78609</v>
      </c>
      <c r="L8" s="61">
        <f>SUM('опл. Июль'!J8)</f>
        <v>910.01602</v>
      </c>
      <c r="M8" s="61">
        <f>SUM('опл. авг.'!J8)</f>
        <v>909.67218</v>
      </c>
      <c r="N8" s="60">
        <f>SUM('опл. сентяб.'!J8)</f>
        <v>920.01874</v>
      </c>
      <c r="O8" s="61">
        <f>SUM('опл. окт.'!F8)</f>
        <v>922.11488</v>
      </c>
      <c r="P8" s="1">
        <f>SUM('опл. нояб.'!F8)</f>
        <v>941.89446</v>
      </c>
      <c r="Q8" s="1">
        <f>SUM('опл. дек.'!F8)</f>
        <v>882.36982</v>
      </c>
      <c r="R8" s="73">
        <f>SUM('опл. дек.'!I8)</f>
        <v>10019.48882</v>
      </c>
      <c r="S8" s="57">
        <f>SUM(T8:AE8)</f>
        <v>9732.026310000001</v>
      </c>
      <c r="T8" s="61">
        <f>SUM('опл. янв.16'!L8)</f>
        <v>366.7715</v>
      </c>
      <c r="U8" s="61">
        <f>SUM('опл.фев.16'!L8)</f>
        <v>751.4379</v>
      </c>
      <c r="V8" s="61">
        <f>SUM('опл. март'!L8)</f>
        <v>939.1615</v>
      </c>
      <c r="W8" s="61">
        <f>SUM('опл. апр.'!L8)</f>
        <v>692.86473</v>
      </c>
      <c r="X8" s="61">
        <f>SUM('опл.май'!L8)</f>
        <v>764.63365</v>
      </c>
      <c r="Y8" s="1">
        <f>SUM('опл. июнь'!L8)</f>
        <v>772.33407</v>
      </c>
      <c r="Z8" s="1">
        <f>SUM('опл. Июль'!L8)</f>
        <v>706.76387</v>
      </c>
      <c r="AA8" s="61">
        <f>SUM('опл. авг.'!L8)</f>
        <v>970.8904</v>
      </c>
      <c r="AB8" s="60">
        <f>SUM('опл. сентяб.'!L8)</f>
        <v>873.17594</v>
      </c>
      <c r="AC8" s="61">
        <f>SUM('опл. окт.'!L8)</f>
        <v>935.68806</v>
      </c>
      <c r="AD8" s="61">
        <f>SUM('опл. нояб.'!L8)</f>
        <v>842.33054</v>
      </c>
      <c r="AE8" s="61">
        <f>SUM('опл. дек.'!L8)</f>
        <v>1115.97415</v>
      </c>
      <c r="AF8" s="73">
        <f>SUM('опл. дек.'!K8)</f>
        <v>9732.026310000001</v>
      </c>
      <c r="AG8" s="60">
        <f>SUM(B8,E8)-S8</f>
        <v>1271.159639999998</v>
      </c>
      <c r="AH8" s="78">
        <f>SUM('опл. дек.'!Q8)</f>
        <v>791.6616419328119</v>
      </c>
      <c r="AI8" s="78">
        <f>SUM('опл. дек.'!R8)</f>
        <v>479.4979980671881</v>
      </c>
      <c r="AJ8" s="79">
        <f t="shared" si="6"/>
        <v>0.9713096630811953</v>
      </c>
      <c r="AK8" s="62">
        <f t="shared" si="7"/>
        <v>0.4658931933837924</v>
      </c>
      <c r="AL8" s="62">
        <f t="shared" si="7"/>
        <v>0.9804385113002169</v>
      </c>
      <c r="AM8" s="63">
        <f t="shared" si="7"/>
        <v>1.3151344701002803</v>
      </c>
      <c r="AN8" s="63">
        <f t="shared" si="1"/>
        <v>0.8711726553185403</v>
      </c>
      <c r="AO8" s="63">
        <f t="shared" si="1"/>
        <v>1.0410260721579305</v>
      </c>
      <c r="AP8" s="63">
        <f t="shared" si="1"/>
        <v>1.0496720181268988</v>
      </c>
      <c r="AQ8" s="59">
        <f t="shared" si="1"/>
        <v>0.7766499209541388</v>
      </c>
      <c r="AR8" s="59">
        <f t="shared" si="1"/>
        <v>1.0672970124248495</v>
      </c>
      <c r="AS8" s="59">
        <f t="shared" si="2"/>
        <v>0.9490849501609064</v>
      </c>
      <c r="AT8" s="72">
        <f t="shared" si="3"/>
        <v>1.0147196193168468</v>
      </c>
      <c r="AU8" s="72">
        <f t="shared" si="3"/>
        <v>0.8942939742951669</v>
      </c>
      <c r="AV8" s="72">
        <f t="shared" si="3"/>
        <v>1.2647465095757695</v>
      </c>
    </row>
    <row r="9" spans="1:48" s="2" customFormat="1" ht="18" customHeight="1">
      <c r="A9" s="1" t="s">
        <v>58</v>
      </c>
      <c r="B9" s="60">
        <f>SUM('опл. июнь'!B9)</f>
        <v>573.44926</v>
      </c>
      <c r="C9" s="60">
        <f>SUM('опл. июнь'!C9)</f>
        <v>426.264749</v>
      </c>
      <c r="D9" s="60">
        <f>SUM('опл. июнь'!D9)</f>
        <v>147.184511</v>
      </c>
      <c r="E9" s="57">
        <f t="shared" si="0"/>
        <v>5442.99672</v>
      </c>
      <c r="F9" s="61">
        <f>SUM('опл. янв.16'!F9)</f>
        <v>446.20949</v>
      </c>
      <c r="G9" s="61">
        <f>SUM('опл.фев.16'!F9)</f>
        <v>425.54552</v>
      </c>
      <c r="H9" s="61">
        <f>SUM('опл. март'!J9)</f>
        <v>420.44923</v>
      </c>
      <c r="I9" s="61">
        <f>SUM('опл. апр.'!F9)</f>
        <v>458.21088000000003</v>
      </c>
      <c r="J9" s="61">
        <f>SUM('опл.май'!F9)</f>
        <v>432.37054</v>
      </c>
      <c r="K9" s="61">
        <f>SUM('опл. июнь'!F9)</f>
        <v>422.77669000000003</v>
      </c>
      <c r="L9" s="61">
        <f>SUM('опл. Июль'!J9)</f>
        <v>472.37928999999997</v>
      </c>
      <c r="M9" s="61">
        <f>SUM('опл. авг.'!J9)</f>
        <v>484.16253</v>
      </c>
      <c r="N9" s="60">
        <f>SUM('опл. сентяб.'!J9)</f>
        <v>489.457</v>
      </c>
      <c r="O9" s="61">
        <f>SUM('опл. окт.'!F9)</f>
        <v>462.62162</v>
      </c>
      <c r="P9" s="1">
        <f>SUM('опл. нояб.'!F9)</f>
        <v>478.92162</v>
      </c>
      <c r="Q9" s="1">
        <f>SUM('опл. дек.'!F9)</f>
        <v>449.89231</v>
      </c>
      <c r="R9" s="73">
        <f>SUM('опл. дек.'!I9)</f>
        <v>5442.99672</v>
      </c>
      <c r="S9" s="57">
        <f>SUM(T9:AE9)</f>
        <v>5332.7428899999995</v>
      </c>
      <c r="T9" s="61">
        <f>SUM('опл. янв.16'!L9)</f>
        <v>211.9568</v>
      </c>
      <c r="U9" s="61">
        <f>SUM('опл.фев.16'!L9)</f>
        <v>426.70006</v>
      </c>
      <c r="V9" s="61">
        <f>SUM('опл. март'!L9)</f>
        <v>535.14559</v>
      </c>
      <c r="W9" s="61">
        <f>SUM('опл. апр.'!L9)</f>
        <v>403.01292</v>
      </c>
      <c r="X9" s="61">
        <f>SUM('опл.май'!L9)</f>
        <v>440.93779</v>
      </c>
      <c r="Y9" s="1">
        <f>SUM('опл. июнь'!L9)</f>
        <v>448.68915</v>
      </c>
      <c r="Z9" s="1">
        <f>SUM('опл. Июль'!L9)</f>
        <v>394.301</v>
      </c>
      <c r="AA9" s="61">
        <f>SUM('опл. авг.'!L9)</f>
        <v>514.58953</v>
      </c>
      <c r="AB9" s="60">
        <f>SUM('опл. сентяб.'!L9)</f>
        <v>470.09005</v>
      </c>
      <c r="AC9" s="61">
        <f>SUM('опл. окт.'!L9)</f>
        <v>483.97123</v>
      </c>
      <c r="AD9" s="61">
        <f>SUM('опл. нояб.'!L9)</f>
        <v>435.07467</v>
      </c>
      <c r="AE9" s="61">
        <f>SUM('опл. дек.'!L9)</f>
        <v>568.2741</v>
      </c>
      <c r="AF9" s="73">
        <f>SUM('опл. дек.'!K9)</f>
        <v>5332.7428899999995</v>
      </c>
      <c r="AG9" s="60">
        <f>SUM(B9,E9)-S9</f>
        <v>683.7030900000009</v>
      </c>
      <c r="AH9" s="78">
        <f>SUM('опл. дек.'!Q9)</f>
        <v>425.8013657701859</v>
      </c>
      <c r="AI9" s="78">
        <f>SUM('опл. дек.'!R9)</f>
        <v>257.90172422981504</v>
      </c>
      <c r="AJ9" s="79">
        <f t="shared" si="6"/>
        <v>0.9797439102627273</v>
      </c>
      <c r="AK9" s="62">
        <f t="shared" si="7"/>
        <v>0.4750163426600362</v>
      </c>
      <c r="AL9" s="62">
        <f t="shared" si="7"/>
        <v>1.002713082257334</v>
      </c>
      <c r="AM9" s="63">
        <f t="shared" si="7"/>
        <v>1.2727947914186928</v>
      </c>
      <c r="AN9" s="63">
        <f t="shared" si="1"/>
        <v>0.8795359027703575</v>
      </c>
      <c r="AO9" s="63">
        <f t="shared" si="1"/>
        <v>1.0198146016146243</v>
      </c>
      <c r="AP9" s="63">
        <f t="shared" si="1"/>
        <v>1.061291127474412</v>
      </c>
      <c r="AQ9" s="59">
        <f t="shared" si="1"/>
        <v>0.8347127157077526</v>
      </c>
      <c r="AR9" s="59">
        <f t="shared" si="1"/>
        <v>1.0628445988994646</v>
      </c>
      <c r="AS9" s="59">
        <f t="shared" si="2"/>
        <v>0.9604317641794887</v>
      </c>
      <c r="AT9" s="72">
        <f t="shared" si="3"/>
        <v>1.0461491834298622</v>
      </c>
      <c r="AU9" s="72">
        <f t="shared" si="3"/>
        <v>0.90844650112058</v>
      </c>
      <c r="AV9" s="72">
        <f t="shared" si="3"/>
        <v>1.2631336152422787</v>
      </c>
    </row>
    <row r="10" spans="1:48" s="2" customFormat="1" ht="18" customHeight="1">
      <c r="A10" s="98" t="s">
        <v>115</v>
      </c>
      <c r="B10" s="60">
        <v>0</v>
      </c>
      <c r="C10" s="60">
        <v>0</v>
      </c>
      <c r="D10" s="60">
        <v>0</v>
      </c>
      <c r="E10" s="57">
        <f t="shared" si="0"/>
        <v>1711.21569</v>
      </c>
      <c r="F10" s="61">
        <v>0</v>
      </c>
      <c r="G10" s="61">
        <v>0</v>
      </c>
      <c r="H10" s="61">
        <v>56.996</v>
      </c>
      <c r="I10" s="61">
        <v>63.471</v>
      </c>
      <c r="J10" s="61">
        <v>50.914</v>
      </c>
      <c r="K10" s="61">
        <v>54.478</v>
      </c>
      <c r="L10" s="61">
        <v>52.81</v>
      </c>
      <c r="M10" s="61">
        <v>51.239</v>
      </c>
      <c r="N10" s="60">
        <v>64.02</v>
      </c>
      <c r="O10" s="61">
        <f>SUM('опл. окт.'!J12)</f>
        <v>66.79194</v>
      </c>
      <c r="P10" s="1">
        <f>SUM('опл. нояб.'!J12)</f>
        <v>313.65343</v>
      </c>
      <c r="Q10" s="106">
        <f>SUM('Начисл.2016'!Z27)/1000</f>
        <v>936.84232</v>
      </c>
      <c r="R10" s="73">
        <f>SUM('опл. дек.'!K12)</f>
        <v>1209.2981599999998</v>
      </c>
      <c r="S10" s="57">
        <f>SUM(T10:AE10)</f>
        <v>1209.28616</v>
      </c>
      <c r="T10" s="61">
        <v>0</v>
      </c>
      <c r="U10" s="61">
        <v>0</v>
      </c>
      <c r="V10" s="61">
        <v>12.23</v>
      </c>
      <c r="W10" s="61">
        <v>60.832</v>
      </c>
      <c r="X10" s="61">
        <v>50.84</v>
      </c>
      <c r="Y10" s="61">
        <v>50.884</v>
      </c>
      <c r="Z10" s="61">
        <v>52.293</v>
      </c>
      <c r="AA10" s="61">
        <v>59.462</v>
      </c>
      <c r="AB10" s="60">
        <v>49.447</v>
      </c>
      <c r="AC10" s="61">
        <f>SUM('опл. окт.'!L12)</f>
        <v>66.1649</v>
      </c>
      <c r="AD10" s="61">
        <f>SUM('опл. нояб.'!L12)</f>
        <v>128.79229</v>
      </c>
      <c r="AE10" s="61">
        <f>SUM('опл. дек.'!L12)</f>
        <v>678.34097</v>
      </c>
      <c r="AF10" s="73">
        <f>SUM('опл. дек.'!K12)</f>
        <v>1209.2981599999998</v>
      </c>
      <c r="AG10" s="60">
        <f>SUM('опл. дек.'!P12)</f>
        <v>501.9175200000002</v>
      </c>
      <c r="AH10" s="60">
        <f>SUM('опл. дек.'!Q12)</f>
        <v>312.5876841071238</v>
      </c>
      <c r="AI10" s="60">
        <f>SUM('опл. дек.'!R12)</f>
        <v>189.3298358928765</v>
      </c>
      <c r="AJ10" s="79">
        <f t="shared" si="6"/>
        <v>0.7066824872322204</v>
      </c>
      <c r="AK10" s="62">
        <v>0</v>
      </c>
      <c r="AL10" s="62">
        <v>0</v>
      </c>
      <c r="AM10" s="62">
        <f>SUM(V10)/H10</f>
        <v>0.2145764615060706</v>
      </c>
      <c r="AN10" s="62">
        <f t="shared" si="1"/>
        <v>0.9584219564840637</v>
      </c>
      <c r="AO10" s="62">
        <f t="shared" si="1"/>
        <v>0.9985465687237303</v>
      </c>
      <c r="AP10" s="62">
        <f t="shared" si="1"/>
        <v>0.9340284151400565</v>
      </c>
      <c r="AQ10" s="62">
        <f t="shared" si="1"/>
        <v>0.9902101874644953</v>
      </c>
      <c r="AR10" s="62">
        <f t="shared" si="1"/>
        <v>1.1604832256679483</v>
      </c>
      <c r="AS10" s="62">
        <f t="shared" si="2"/>
        <v>0.772368009996876</v>
      </c>
      <c r="AT10" s="62">
        <f t="shared" si="3"/>
        <v>0.9906120409139187</v>
      </c>
      <c r="AU10" s="62">
        <f t="shared" si="3"/>
        <v>0.4106197403930829</v>
      </c>
      <c r="AV10" s="62">
        <f t="shared" si="3"/>
        <v>0.7240716559431261</v>
      </c>
    </row>
    <row r="11" spans="1:48" s="2" customFormat="1" ht="21" customHeight="1">
      <c r="A11" s="1" t="s">
        <v>60</v>
      </c>
      <c r="B11" s="60">
        <f>SUM('опл. июнь'!B11)</f>
        <v>2394.04652</v>
      </c>
      <c r="C11" s="60">
        <f>SUM('опл. июнь'!C11)</f>
        <v>1779.577916</v>
      </c>
      <c r="D11" s="60">
        <f>SUM('опл. июнь'!D11)</f>
        <v>614.468604</v>
      </c>
      <c r="E11" s="57">
        <f t="shared" si="0"/>
        <v>27795.268790000002</v>
      </c>
      <c r="F11" s="61">
        <f>SUM('опл. янв.16'!F11)</f>
        <v>5624.27935</v>
      </c>
      <c r="G11" s="61">
        <f>SUM('опл.фев.16'!F11)</f>
        <v>4228.27585</v>
      </c>
      <c r="H11" s="61">
        <f>SUM('опл. март'!F11)</f>
        <v>3419.82922</v>
      </c>
      <c r="I11" s="61">
        <f>SUM('опл. апр.'!F11)</f>
        <v>2544.66998</v>
      </c>
      <c r="J11" s="61">
        <f>SUM('опл.май'!F11)</f>
        <v>155.47321</v>
      </c>
      <c r="K11" s="61">
        <f>SUM('опл. июнь'!F11)</f>
        <v>0</v>
      </c>
      <c r="L11" s="61">
        <f>SUM('опл. Июль'!F11)</f>
        <v>0</v>
      </c>
      <c r="M11" s="61">
        <f>SUM('опл. авг.'!F11)</f>
        <v>0</v>
      </c>
      <c r="N11" s="60">
        <f>SUM('опл. сентяб.'!F11)</f>
        <v>0</v>
      </c>
      <c r="O11" s="1">
        <f>SUM('опл. окт.'!F11)</f>
        <v>2598.7232599999998</v>
      </c>
      <c r="P11" s="1">
        <f>SUM('опл. нояб.'!F11)</f>
        <v>4244.69713</v>
      </c>
      <c r="Q11" s="1">
        <f>SUM('опл. дек.'!F11)</f>
        <v>4979.32079</v>
      </c>
      <c r="R11" s="73">
        <f>SUM('опл. дек.'!I11)</f>
        <v>27795.26879</v>
      </c>
      <c r="S11" s="57">
        <f>SUM(T11:AE11)</f>
        <v>26253.736979999998</v>
      </c>
      <c r="T11" s="61">
        <f>SUM('опл. янв.16'!L11)</f>
        <v>2061.24119</v>
      </c>
      <c r="U11" s="61">
        <f>SUM('опл.фев.16'!L11)</f>
        <v>4872.96088</v>
      </c>
      <c r="V11" s="61">
        <f>SUM('опл. март'!L11)</f>
        <v>4864.76887</v>
      </c>
      <c r="W11" s="61">
        <f>SUM('опл. апр.'!L11)</f>
        <v>2690.04781</v>
      </c>
      <c r="X11" s="61">
        <f>SUM('опл.май'!L11)</f>
        <v>1719.73961</v>
      </c>
      <c r="Y11" s="1">
        <f>SUM('опл. июнь'!L11)</f>
        <v>402.57087</v>
      </c>
      <c r="Z11" s="1">
        <f>SUM('опл. Июль'!L11)</f>
        <v>184.82107</v>
      </c>
      <c r="AA11" s="61">
        <f>SUM('опл. авг.'!L11)</f>
        <v>143.14784</v>
      </c>
      <c r="AB11" s="60">
        <f>SUM('опл. сентяб.'!L11)</f>
        <v>100.54868</v>
      </c>
      <c r="AC11" s="61">
        <f>SUM('опл. окт.'!L11)</f>
        <v>1242.46407</v>
      </c>
      <c r="AD11" s="61">
        <f>SUM('опл. нояб.'!L11)</f>
        <v>2825.45183</v>
      </c>
      <c r="AE11" s="61">
        <f>SUM('опл. дек.'!L11)</f>
        <v>5145.97426</v>
      </c>
      <c r="AF11" s="75">
        <f>SUM('опл. дек.'!K11)</f>
        <v>26253.736979999998</v>
      </c>
      <c r="AG11" s="60">
        <f>SUM(B11,E11)-S11</f>
        <v>3935.578330000004</v>
      </c>
      <c r="AH11" s="78">
        <f>SUM('опл. дек.'!P11)</f>
        <v>3935.5783300000003</v>
      </c>
      <c r="AI11" s="78">
        <f>SUM('опл. дек.'!R11)</f>
        <v>1484.5514844001873</v>
      </c>
      <c r="AJ11" s="79">
        <f t="shared" si="6"/>
        <v>0.9445397768358834</v>
      </c>
      <c r="AK11" s="62">
        <f t="shared" si="7"/>
        <v>0.36648983127056095</v>
      </c>
      <c r="AL11" s="62">
        <f t="shared" si="7"/>
        <v>1.1524699553365232</v>
      </c>
      <c r="AM11" s="63">
        <f t="shared" si="7"/>
        <v>1.4225180724083057</v>
      </c>
      <c r="AN11" s="63">
        <f t="shared" si="1"/>
        <v>1.0571303277606159</v>
      </c>
      <c r="AO11" s="63">
        <f t="shared" si="1"/>
        <v>11.061324391514141</v>
      </c>
      <c r="AP11" s="63">
        <v>0</v>
      </c>
      <c r="AQ11" s="59">
        <v>0</v>
      </c>
      <c r="AR11" s="59">
        <v>0</v>
      </c>
      <c r="AS11" s="59">
        <v>0</v>
      </c>
      <c r="AT11" s="72">
        <f t="shared" si="3"/>
        <v>0.4781055717337136</v>
      </c>
      <c r="AU11" s="72">
        <f t="shared" si="3"/>
        <v>0.6656427404515431</v>
      </c>
      <c r="AV11" s="72">
        <f t="shared" si="3"/>
        <v>1.0334691169797077</v>
      </c>
    </row>
    <row r="12" spans="1:48" s="3" customFormat="1" ht="18" customHeight="1">
      <c r="A12" s="56" t="s">
        <v>61</v>
      </c>
      <c r="B12" s="57">
        <f>SUM('опл. июнь'!B12)</f>
        <v>5988.27115</v>
      </c>
      <c r="C12" s="57">
        <f>SUM('опл. июнь'!C12)</f>
        <v>4451.289898999999</v>
      </c>
      <c r="D12" s="57">
        <f>SUM('опл. июнь'!D12)</f>
        <v>1536.9812510000002</v>
      </c>
      <c r="E12" s="57">
        <f t="shared" si="0"/>
        <v>70792.30395</v>
      </c>
      <c r="F12" s="57">
        <f>SUM(F7,F6)</f>
        <v>8931.32217</v>
      </c>
      <c r="G12" s="57">
        <f>SUM(G7,G6)</f>
        <v>7500.74837</v>
      </c>
      <c r="H12" s="57">
        <f aca="true" t="shared" si="8" ref="H12:Q12">SUM(H7,H6)</f>
        <v>6687.707780000001</v>
      </c>
      <c r="I12" s="57">
        <f t="shared" si="8"/>
        <v>5935.13085</v>
      </c>
      <c r="J12" s="57">
        <f t="shared" si="8"/>
        <v>3449.347509999999</v>
      </c>
      <c r="K12" s="57">
        <f t="shared" si="8"/>
        <v>3318.4667500000005</v>
      </c>
      <c r="L12" s="57">
        <f t="shared" si="8"/>
        <v>3674.28394</v>
      </c>
      <c r="M12" s="57">
        <f t="shared" si="8"/>
        <v>3688.87708</v>
      </c>
      <c r="N12" s="57">
        <f t="shared" si="8"/>
        <v>3712.71491</v>
      </c>
      <c r="O12" s="57">
        <f t="shared" si="8"/>
        <v>6260.20176</v>
      </c>
      <c r="P12" s="57">
        <f t="shared" si="8"/>
        <v>8181.95225</v>
      </c>
      <c r="Q12" s="57">
        <f t="shared" si="8"/>
        <v>9451.55058</v>
      </c>
      <c r="R12" s="57">
        <f>SUM('опл. дек.'!I13)</f>
        <v>70792.48395000001</v>
      </c>
      <c r="S12" s="57">
        <f>SUM(S6,S7)</f>
        <v>67738.75958</v>
      </c>
      <c r="T12" s="57">
        <f aca="true" t="shared" si="9" ref="T12:AE12">SUM(T6,T7)</f>
        <v>3642.1334500000003</v>
      </c>
      <c r="U12" s="57">
        <f t="shared" si="9"/>
        <v>8076.01559</v>
      </c>
      <c r="V12" s="57">
        <f t="shared" si="9"/>
        <v>8968.331960000001</v>
      </c>
      <c r="W12" s="57">
        <f t="shared" si="9"/>
        <v>5673.526440000001</v>
      </c>
      <c r="X12" s="57">
        <f t="shared" si="9"/>
        <v>5128.043089999999</v>
      </c>
      <c r="Y12" s="56">
        <f t="shared" si="9"/>
        <v>3876.9820600000003</v>
      </c>
      <c r="Z12" s="56">
        <f t="shared" si="9"/>
        <v>3224.1906099999997</v>
      </c>
      <c r="AA12" s="57">
        <f t="shared" si="9"/>
        <v>4164.66561</v>
      </c>
      <c r="AB12" s="57">
        <f t="shared" si="9"/>
        <v>3627.31672</v>
      </c>
      <c r="AC12" s="57">
        <f t="shared" si="9"/>
        <v>4984.035559999999</v>
      </c>
      <c r="AD12" s="57">
        <f t="shared" si="9"/>
        <v>6262.16338</v>
      </c>
      <c r="AE12" s="57">
        <f t="shared" si="9"/>
        <v>10111.355109999999</v>
      </c>
      <c r="AF12" s="73">
        <f>SUM('опл. дек.'!K13)</f>
        <v>67738.75958000001</v>
      </c>
      <c r="AG12" s="57">
        <f>SUM(B12,E12)-S12</f>
        <v>9041.815520000004</v>
      </c>
      <c r="AH12" s="73">
        <f>SUM(AH6,AH7)</f>
        <v>5631.236859999997</v>
      </c>
      <c r="AI12" s="82">
        <f>SUM('опл. дек.'!R12)</f>
        <v>189.3298358928765</v>
      </c>
      <c r="AJ12" s="79">
        <f t="shared" si="6"/>
        <v>0.9568661535276957</v>
      </c>
      <c r="AK12" s="58">
        <f t="shared" si="7"/>
        <v>0.40779331219668685</v>
      </c>
      <c r="AL12" s="58">
        <f t="shared" si="7"/>
        <v>1.0766946432039821</v>
      </c>
      <c r="AM12" s="59">
        <f t="shared" si="7"/>
        <v>1.3410173193901125</v>
      </c>
      <c r="AN12" s="59">
        <f t="shared" si="1"/>
        <v>0.9559227224114193</v>
      </c>
      <c r="AO12" s="59">
        <f t="shared" si="1"/>
        <v>1.4866704717727905</v>
      </c>
      <c r="AP12" s="59">
        <f t="shared" si="1"/>
        <v>1.1683052301186985</v>
      </c>
      <c r="AQ12" s="59">
        <f t="shared" si="1"/>
        <v>0.8775017561653115</v>
      </c>
      <c r="AR12" s="59">
        <f t="shared" si="1"/>
        <v>1.1289792312624307</v>
      </c>
      <c r="AS12" s="59">
        <f t="shared" si="2"/>
        <v>0.9769984520572843</v>
      </c>
      <c r="AT12" s="72">
        <f t="shared" si="3"/>
        <v>0.7961461548804778</v>
      </c>
      <c r="AU12" s="72">
        <f t="shared" si="3"/>
        <v>0.7653629828993441</v>
      </c>
      <c r="AV12" s="72">
        <f t="shared" si="3"/>
        <v>1.0698091307257227</v>
      </c>
    </row>
    <row r="13" spans="32:36" s="2" customFormat="1" ht="12.75">
      <c r="AF13" s="74"/>
      <c r="AH13" s="74"/>
      <c r="AI13" s="74"/>
      <c r="AJ13" s="74"/>
    </row>
    <row r="14" spans="1:36" s="2" customFormat="1" ht="17.25" customHeight="1">
      <c r="A14" s="115" t="s">
        <v>34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AF14" s="74"/>
      <c r="AH14" s="74"/>
      <c r="AI14" s="74"/>
      <c r="AJ14" s="74"/>
    </row>
    <row r="15" spans="1:36" s="2" customFormat="1" ht="12.75">
      <c r="A15" s="2" t="s">
        <v>90</v>
      </c>
      <c r="AF15" s="74"/>
      <c r="AH15" s="74"/>
      <c r="AI15" s="74"/>
      <c r="AJ15" s="74"/>
    </row>
    <row r="16" spans="5:36" s="2" customFormat="1" ht="12.75">
      <c r="E16" s="99"/>
      <c r="AF16" s="74"/>
      <c r="AH16" s="74"/>
      <c r="AI16" s="74"/>
      <c r="AJ16" s="74"/>
    </row>
    <row r="17" spans="5:36" s="2" customFormat="1" ht="12.75">
      <c r="E17" s="99"/>
      <c r="AF17" s="74"/>
      <c r="AH17" s="74"/>
      <c r="AI17" s="74"/>
      <c r="AJ17" s="74"/>
    </row>
    <row r="18" spans="32:36" s="2" customFormat="1" ht="12.75">
      <c r="AF18" s="74"/>
      <c r="AH18" s="74"/>
      <c r="AI18" s="74"/>
      <c r="AJ18" s="74"/>
    </row>
    <row r="19" spans="18:36" s="2" customFormat="1" ht="12.75">
      <c r="R19" s="99"/>
      <c r="AF19" s="74"/>
      <c r="AH19" s="74"/>
      <c r="AI19" s="74"/>
      <c r="AJ19" s="74"/>
    </row>
    <row r="20" spans="32:36" s="2" customFormat="1" ht="12.75">
      <c r="AF20" s="74"/>
      <c r="AH20" s="74"/>
      <c r="AI20" s="74"/>
      <c r="AJ20" s="74"/>
    </row>
    <row r="21" spans="18:36" s="2" customFormat="1" ht="12.75">
      <c r="R21" s="99"/>
      <c r="AF21" s="74"/>
      <c r="AH21" s="74"/>
      <c r="AI21" s="74"/>
      <c r="AJ21" s="74"/>
    </row>
    <row r="22" spans="32:36" s="2" customFormat="1" ht="12.75">
      <c r="AF22" s="74"/>
      <c r="AH22" s="74"/>
      <c r="AI22" s="74"/>
      <c r="AJ22" s="74"/>
    </row>
    <row r="23" spans="32:36" s="2" customFormat="1" ht="12.75">
      <c r="AF23" s="74"/>
      <c r="AH23" s="74"/>
      <c r="AI23" s="74"/>
      <c r="AJ23" s="74"/>
    </row>
    <row r="24" spans="32:36" s="2" customFormat="1" ht="12.75">
      <c r="AF24" s="74"/>
      <c r="AH24" s="74"/>
      <c r="AI24" s="74"/>
      <c r="AJ24" s="74"/>
    </row>
    <row r="25" s="74" customFormat="1" ht="12.75">
      <c r="R25" s="85"/>
    </row>
    <row r="26" s="74" customFormat="1" ht="12.75">
      <c r="R26" s="85"/>
    </row>
    <row r="27" s="74" customFormat="1" ht="12.75"/>
    <row r="28" s="74" customFormat="1" ht="12.75"/>
    <row r="29" s="74" customFormat="1" ht="12.75"/>
    <row r="30" s="76" customFormat="1" ht="12.75"/>
    <row r="31" s="76" customFormat="1" ht="12.75"/>
    <row r="32" s="76" customFormat="1" ht="12.75"/>
    <row r="33" s="76" customFormat="1" ht="12.75"/>
    <row r="34" s="76" customFormat="1" ht="12.75"/>
    <row r="35" s="76" customFormat="1" ht="12.75"/>
    <row r="36" s="76" customFormat="1" ht="12.75">
      <c r="E36" s="86"/>
    </row>
    <row r="37" spans="5:19" s="76" customFormat="1" ht="12.75">
      <c r="E37" s="87"/>
      <c r="L37" s="88"/>
      <c r="R37" s="88"/>
      <c r="S37" s="88"/>
    </row>
    <row r="38" s="76" customFormat="1" ht="12.75"/>
    <row r="39" s="76" customFormat="1" ht="12.75"/>
    <row r="40" s="76" customFormat="1" ht="12.75"/>
    <row r="41" s="76" customFormat="1" ht="12.75"/>
    <row r="42" s="76" customFormat="1" ht="12.75"/>
    <row r="43" s="76" customFormat="1" ht="12.75"/>
    <row r="44" s="76" customFormat="1" ht="12.75"/>
    <row r="45" s="76" customFormat="1" ht="12.75"/>
    <row r="46" s="76" customFormat="1" ht="12.75"/>
  </sheetData>
  <sheetProtection/>
  <mergeCells count="20">
    <mergeCell ref="AJ3:AJ5"/>
    <mergeCell ref="AK3:AV3"/>
    <mergeCell ref="AK4:AV4"/>
    <mergeCell ref="A14:M14"/>
    <mergeCell ref="S4:S5"/>
    <mergeCell ref="T4:AE4"/>
    <mergeCell ref="AF3:AF5"/>
    <mergeCell ref="AG3:AI3"/>
    <mergeCell ref="AG4:AG5"/>
    <mergeCell ref="AH4:AI4"/>
    <mergeCell ref="A1:N1"/>
    <mergeCell ref="B3:D3"/>
    <mergeCell ref="E3:Q3"/>
    <mergeCell ref="R3:R5"/>
    <mergeCell ref="S3:AE3"/>
    <mergeCell ref="E4:E5"/>
    <mergeCell ref="C4:D4"/>
    <mergeCell ref="B4:B5"/>
    <mergeCell ref="A3:A5"/>
    <mergeCell ref="F4:Q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J28"/>
  <sheetViews>
    <sheetView zoomScalePageLayoutView="0" workbookViewId="0" topLeftCell="A13">
      <selection activeCell="T18" sqref="T18"/>
    </sheetView>
  </sheetViews>
  <sheetFormatPr defaultColWidth="9.140625" defaultRowHeight="12.75"/>
  <cols>
    <col min="1" max="1" width="7.421875" style="9" customWidth="1"/>
    <col min="2" max="2" width="11.421875" style="9" customWidth="1"/>
    <col min="3" max="3" width="8.28125" style="9" customWidth="1"/>
    <col min="4" max="4" width="9.140625" style="9" customWidth="1"/>
    <col min="5" max="5" width="9.00390625" style="9" customWidth="1"/>
    <col min="6" max="6" width="7.00390625" style="9" customWidth="1"/>
    <col min="7" max="7" width="7.57421875" style="9" customWidth="1"/>
    <col min="8" max="8" width="7.00390625" style="9" customWidth="1"/>
    <col min="9" max="10" width="7.421875" style="9" customWidth="1"/>
    <col min="11" max="14" width="8.421875" style="9" customWidth="1"/>
    <col min="15" max="15" width="8.421875" style="9" hidden="1" customWidth="1"/>
    <col min="16" max="16" width="7.421875" style="9" customWidth="1"/>
    <col min="17" max="17" width="7.7109375" style="9" customWidth="1"/>
    <col min="18" max="19" width="7.421875" style="9" customWidth="1"/>
    <col min="20" max="20" width="18.421875" style="9" customWidth="1"/>
    <col min="21" max="21" width="11.00390625" style="9" customWidth="1"/>
    <col min="22" max="22" width="10.421875" style="9" customWidth="1"/>
    <col min="23" max="23" width="11.00390625" style="9" customWidth="1"/>
    <col min="24" max="24" width="9.8515625" style="9" hidden="1" customWidth="1"/>
    <col min="25" max="25" width="9.28125" style="9" hidden="1" customWidth="1"/>
    <col min="26" max="26" width="9.28125" style="9" bestFit="1" customWidth="1"/>
    <col min="27" max="27" width="9.28125" style="9" hidden="1" customWidth="1"/>
    <col min="28" max="28" width="8.140625" style="9" hidden="1" customWidth="1"/>
    <col min="29" max="29" width="8.7109375" style="9" customWidth="1"/>
    <col min="30" max="30" width="10.28125" style="9" hidden="1" customWidth="1"/>
    <col min="31" max="31" width="9.421875" style="9" customWidth="1"/>
    <col min="32" max="32" width="8.421875" style="9" customWidth="1"/>
    <col min="33" max="33" width="11.421875" style="9" hidden="1" customWidth="1"/>
    <col min="34" max="35" width="13.140625" style="9" customWidth="1"/>
    <col min="36" max="36" width="15.57421875" style="9" customWidth="1"/>
    <col min="37" max="37" width="11.421875" style="9" customWidth="1"/>
    <col min="38" max="40" width="11.57421875" style="9" bestFit="1" customWidth="1"/>
    <col min="41" max="41" width="11.8515625" style="9" customWidth="1"/>
    <col min="42" max="42" width="11.57421875" style="9" bestFit="1" customWidth="1"/>
    <col min="43" max="43" width="9.57421875" style="9" bestFit="1" customWidth="1"/>
    <col min="44" max="16384" width="9.140625" style="9" customWidth="1"/>
  </cols>
  <sheetData>
    <row r="1" spans="1:62" s="14" customFormat="1" ht="12.75">
      <c r="A1" s="19" t="s">
        <v>117</v>
      </c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ht="12.75">
      <c r="E2" s="18"/>
    </row>
    <row r="3" spans="1:62" s="15" customFormat="1" ht="12.75" customHeight="1">
      <c r="A3" s="120" t="s">
        <v>5</v>
      </c>
      <c r="B3" s="116" t="s">
        <v>6</v>
      </c>
      <c r="C3" s="120" t="s">
        <v>36</v>
      </c>
      <c r="D3" s="117" t="s">
        <v>12</v>
      </c>
      <c r="E3" s="124" t="s">
        <v>15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  <c r="R3" s="122" t="s">
        <v>32</v>
      </c>
      <c r="S3" s="116" t="s">
        <v>11</v>
      </c>
      <c r="T3" s="116" t="s">
        <v>17</v>
      </c>
      <c r="U3" s="124" t="s">
        <v>15</v>
      </c>
      <c r="V3" s="125"/>
      <c r="W3" s="125"/>
      <c r="X3" s="125"/>
      <c r="Y3" s="125"/>
      <c r="Z3" s="125"/>
      <c r="AA3" s="125"/>
      <c r="AB3" s="126"/>
      <c r="AC3" s="119" t="s">
        <v>22</v>
      </c>
      <c r="AD3" s="117" t="s">
        <v>87</v>
      </c>
      <c r="AE3" s="119" t="s">
        <v>86</v>
      </c>
      <c r="AF3" s="119" t="s">
        <v>23</v>
      </c>
      <c r="AG3" s="116" t="s">
        <v>0</v>
      </c>
      <c r="AH3" s="116" t="s">
        <v>25</v>
      </c>
      <c r="AI3" s="116" t="s">
        <v>24</v>
      </c>
      <c r="AJ3" s="116" t="s">
        <v>37</v>
      </c>
      <c r="AK3" s="6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62" s="15" customFormat="1" ht="120">
      <c r="A4" s="121"/>
      <c r="B4" s="116"/>
      <c r="C4" s="121"/>
      <c r="D4" s="118"/>
      <c r="E4" s="103" t="s">
        <v>13</v>
      </c>
      <c r="F4" s="103" t="s">
        <v>14</v>
      </c>
      <c r="G4" s="103" t="s">
        <v>4</v>
      </c>
      <c r="H4" s="103" t="s">
        <v>7</v>
      </c>
      <c r="I4" s="103" t="s">
        <v>8</v>
      </c>
      <c r="J4" s="104" t="s">
        <v>0</v>
      </c>
      <c r="K4" s="103" t="s">
        <v>2</v>
      </c>
      <c r="L4" s="103" t="s">
        <v>9</v>
      </c>
      <c r="M4" s="103" t="s">
        <v>28</v>
      </c>
      <c r="N4" s="103" t="s">
        <v>10</v>
      </c>
      <c r="O4" s="103" t="s">
        <v>96</v>
      </c>
      <c r="P4" s="105" t="s">
        <v>1</v>
      </c>
      <c r="Q4" s="103" t="s">
        <v>30</v>
      </c>
      <c r="R4" s="123"/>
      <c r="S4" s="116"/>
      <c r="T4" s="116"/>
      <c r="U4" s="103" t="s">
        <v>18</v>
      </c>
      <c r="V4" s="103" t="s">
        <v>19</v>
      </c>
      <c r="W4" s="103" t="s">
        <v>20</v>
      </c>
      <c r="X4" s="103" t="s">
        <v>21</v>
      </c>
      <c r="Y4" s="103" t="s">
        <v>29</v>
      </c>
      <c r="Z4" s="103" t="s">
        <v>38</v>
      </c>
      <c r="AA4" s="103" t="s">
        <v>39</v>
      </c>
      <c r="AB4" s="103" t="s">
        <v>31</v>
      </c>
      <c r="AC4" s="119"/>
      <c r="AD4" s="118"/>
      <c r="AE4" s="119"/>
      <c r="AF4" s="119"/>
      <c r="AG4" s="116"/>
      <c r="AH4" s="116"/>
      <c r="AI4" s="116"/>
      <c r="AJ4" s="116"/>
      <c r="AK4" s="6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1:62" s="15" customFormat="1" ht="12.75">
      <c r="A5" s="10" t="s">
        <v>16</v>
      </c>
      <c r="B5" s="10" t="s">
        <v>26</v>
      </c>
      <c r="C5" s="65">
        <f>SUM('Начисл.2015'!AJ27)</f>
        <v>5988211.4399999995</v>
      </c>
      <c r="D5" s="65">
        <f>SUM(E5:Q5)</f>
        <v>2007991.4899999998</v>
      </c>
      <c r="E5" s="66">
        <v>402115.52</v>
      </c>
      <c r="F5" s="66">
        <v>9090.01</v>
      </c>
      <c r="G5" s="66">
        <v>61607.21</v>
      </c>
      <c r="H5" s="66">
        <v>14808.06</v>
      </c>
      <c r="I5" s="66">
        <v>38725.05</v>
      </c>
      <c r="J5" s="92">
        <v>53469.35</v>
      </c>
      <c r="K5" s="66">
        <v>217678.3</v>
      </c>
      <c r="L5" s="66">
        <v>300068.5</v>
      </c>
      <c r="M5" s="66">
        <v>334539.17</v>
      </c>
      <c r="N5" s="66">
        <v>466113.69</v>
      </c>
      <c r="O5" s="66"/>
      <c r="P5" s="66">
        <v>19761.72</v>
      </c>
      <c r="Q5" s="66">
        <v>90014.91</v>
      </c>
      <c r="R5" s="66">
        <v>4234.32</v>
      </c>
      <c r="S5" s="66">
        <v>37826.76</v>
      </c>
      <c r="T5" s="66">
        <v>6857732.58</v>
      </c>
      <c r="U5" s="66">
        <v>787243.74</v>
      </c>
      <c r="V5" s="66">
        <v>446209.49</v>
      </c>
      <c r="W5" s="66">
        <v>5624279.35</v>
      </c>
      <c r="X5" s="66"/>
      <c r="Y5" s="66"/>
      <c r="Z5" s="66"/>
      <c r="AA5" s="66"/>
      <c r="AB5" s="66"/>
      <c r="AC5" s="66">
        <v>3280</v>
      </c>
      <c r="AD5" s="66"/>
      <c r="AE5" s="66">
        <v>18475.02</v>
      </c>
      <c r="AF5" s="66">
        <v>1782</v>
      </c>
      <c r="AG5" s="66"/>
      <c r="AH5" s="66">
        <v>8931322.17</v>
      </c>
      <c r="AI5" s="66">
        <v>3642133.45</v>
      </c>
      <c r="AJ5" s="66">
        <f>SUM(C5+AH5-AI5)</f>
        <v>11277400.16</v>
      </c>
      <c r="AL5" s="34"/>
      <c r="AM5" s="25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62" s="17" customFormat="1" ht="12.75">
      <c r="A6" s="16"/>
      <c r="B6" s="7" t="s">
        <v>27</v>
      </c>
      <c r="C6" s="67">
        <f aca="true" t="shared" si="0" ref="C6:AJ6">SUM(C5:C5)</f>
        <v>5988211.4399999995</v>
      </c>
      <c r="D6" s="68">
        <f t="shared" si="0"/>
        <v>2007991.4899999998</v>
      </c>
      <c r="E6" s="69">
        <f t="shared" si="0"/>
        <v>402115.52</v>
      </c>
      <c r="F6" s="69">
        <f t="shared" si="0"/>
        <v>9090.01</v>
      </c>
      <c r="G6" s="69">
        <f t="shared" si="0"/>
        <v>61607.21</v>
      </c>
      <c r="H6" s="69">
        <f t="shared" si="0"/>
        <v>14808.06</v>
      </c>
      <c r="I6" s="69">
        <f t="shared" si="0"/>
        <v>38725.05</v>
      </c>
      <c r="J6" s="69">
        <f t="shared" si="0"/>
        <v>53469.35</v>
      </c>
      <c r="K6" s="69">
        <f t="shared" si="0"/>
        <v>217678.3</v>
      </c>
      <c r="L6" s="69">
        <f t="shared" si="0"/>
        <v>300068.5</v>
      </c>
      <c r="M6" s="69">
        <f t="shared" si="0"/>
        <v>334539.17</v>
      </c>
      <c r="N6" s="69">
        <f t="shared" si="0"/>
        <v>466113.69</v>
      </c>
      <c r="O6" s="69">
        <f t="shared" si="0"/>
        <v>0</v>
      </c>
      <c r="P6" s="69">
        <f t="shared" si="0"/>
        <v>19761.72</v>
      </c>
      <c r="Q6" s="69">
        <f t="shared" si="0"/>
        <v>90014.91</v>
      </c>
      <c r="R6" s="69">
        <f t="shared" si="0"/>
        <v>4234.32</v>
      </c>
      <c r="S6" s="69">
        <f t="shared" si="0"/>
        <v>37826.76</v>
      </c>
      <c r="T6" s="69">
        <f t="shared" si="0"/>
        <v>6857732.58</v>
      </c>
      <c r="U6" s="69">
        <f t="shared" si="0"/>
        <v>787243.74</v>
      </c>
      <c r="V6" s="69">
        <f t="shared" si="0"/>
        <v>446209.49</v>
      </c>
      <c r="W6" s="69">
        <f t="shared" si="0"/>
        <v>5624279.35</v>
      </c>
      <c r="X6" s="69">
        <f t="shared" si="0"/>
        <v>0</v>
      </c>
      <c r="Y6" s="69">
        <f t="shared" si="0"/>
        <v>0</v>
      </c>
      <c r="Z6" s="69">
        <f t="shared" si="0"/>
        <v>0</v>
      </c>
      <c r="AA6" s="69">
        <f t="shared" si="0"/>
        <v>0</v>
      </c>
      <c r="AB6" s="69">
        <f t="shared" si="0"/>
        <v>0</v>
      </c>
      <c r="AC6" s="69">
        <f t="shared" si="0"/>
        <v>3280</v>
      </c>
      <c r="AD6" s="69"/>
      <c r="AE6" s="69">
        <f t="shared" si="0"/>
        <v>18475.02</v>
      </c>
      <c r="AF6" s="69">
        <f t="shared" si="0"/>
        <v>1782</v>
      </c>
      <c r="AG6" s="69">
        <f t="shared" si="0"/>
        <v>0</v>
      </c>
      <c r="AH6" s="69">
        <f t="shared" si="0"/>
        <v>8931322.17</v>
      </c>
      <c r="AI6" s="69">
        <f>SUM(AI5:AI5)</f>
        <v>3642133.45</v>
      </c>
      <c r="AJ6" s="69">
        <f t="shared" si="0"/>
        <v>11277400.16</v>
      </c>
      <c r="AL6" s="35"/>
      <c r="AM6" s="24"/>
      <c r="AN6" s="9"/>
      <c r="AO6" s="18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1:62" s="15" customFormat="1" ht="12.75">
      <c r="A7" s="10" t="s">
        <v>65</v>
      </c>
      <c r="B7" s="10" t="s">
        <v>26</v>
      </c>
      <c r="C7" s="65">
        <f>SUM(AJ5)</f>
        <v>11277400.16</v>
      </c>
      <c r="D7" s="65">
        <f aca="true" t="shared" si="1" ref="D7:D13">SUM(E7:Q7)</f>
        <v>2007731.6499999997</v>
      </c>
      <c r="E7" s="66">
        <v>402115.52</v>
      </c>
      <c r="F7" s="66">
        <v>9090.01</v>
      </c>
      <c r="G7" s="66">
        <v>61607.21</v>
      </c>
      <c r="H7" s="66">
        <v>14808.06</v>
      </c>
      <c r="I7" s="66">
        <v>38725.05</v>
      </c>
      <c r="J7" s="92">
        <v>53469.35</v>
      </c>
      <c r="K7" s="66">
        <v>217678.3</v>
      </c>
      <c r="L7" s="66">
        <v>299808.66</v>
      </c>
      <c r="M7" s="66">
        <v>334539.17</v>
      </c>
      <c r="N7" s="66">
        <v>466113.69</v>
      </c>
      <c r="O7" s="66"/>
      <c r="P7" s="66">
        <v>19761.72</v>
      </c>
      <c r="Q7" s="66">
        <v>90014.91</v>
      </c>
      <c r="R7" s="66">
        <v>9878.57</v>
      </c>
      <c r="S7" s="66">
        <v>39376.34</v>
      </c>
      <c r="T7" s="66">
        <v>5420251.79</v>
      </c>
      <c r="U7" s="66">
        <v>766430.42</v>
      </c>
      <c r="V7" s="66">
        <v>425545.52</v>
      </c>
      <c r="W7" s="66">
        <v>4228275.85</v>
      </c>
      <c r="X7" s="66"/>
      <c r="Y7" s="66"/>
      <c r="Z7" s="66"/>
      <c r="AA7" s="66"/>
      <c r="AB7" s="66"/>
      <c r="AC7" s="66">
        <v>3280</v>
      </c>
      <c r="AD7" s="66"/>
      <c r="AE7" s="66">
        <v>18475.02</v>
      </c>
      <c r="AF7" s="66">
        <v>1755</v>
      </c>
      <c r="AG7" s="66"/>
      <c r="AH7" s="66">
        <v>7500748.37</v>
      </c>
      <c r="AI7" s="66">
        <v>8076015.59</v>
      </c>
      <c r="AJ7" s="66">
        <f aca="true" t="shared" si="2" ref="AJ7:AJ24">SUM(C7+AH7-AI7)</f>
        <v>10702132.940000001</v>
      </c>
      <c r="AL7" s="34"/>
      <c r="AM7" s="25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36" s="42" customFormat="1" ht="12">
      <c r="A8" s="39"/>
      <c r="B8" s="39" t="s">
        <v>66</v>
      </c>
      <c r="C8" s="70">
        <f>SUM(C5)</f>
        <v>5988211.4399999995</v>
      </c>
      <c r="D8" s="71">
        <f t="shared" si="1"/>
        <v>4015723.1399999997</v>
      </c>
      <c r="E8" s="70">
        <f>SUM(E7,E6)</f>
        <v>804231.04</v>
      </c>
      <c r="F8" s="70">
        <f aca="true" t="shared" si="3" ref="F8:AI8">SUM(F7,F6)</f>
        <v>18180.02</v>
      </c>
      <c r="G8" s="70">
        <f t="shared" si="3"/>
        <v>123214.42</v>
      </c>
      <c r="H8" s="70">
        <f t="shared" si="3"/>
        <v>29616.12</v>
      </c>
      <c r="I8" s="70">
        <f t="shared" si="3"/>
        <v>77450.1</v>
      </c>
      <c r="J8" s="70">
        <f t="shared" si="3"/>
        <v>106938.7</v>
      </c>
      <c r="K8" s="70">
        <f t="shared" si="3"/>
        <v>435356.6</v>
      </c>
      <c r="L8" s="70">
        <f t="shared" si="3"/>
        <v>599877.1599999999</v>
      </c>
      <c r="M8" s="70">
        <f t="shared" si="3"/>
        <v>669078.34</v>
      </c>
      <c r="N8" s="70">
        <f t="shared" si="3"/>
        <v>932227.38</v>
      </c>
      <c r="O8" s="70">
        <f t="shared" si="3"/>
        <v>0</v>
      </c>
      <c r="P8" s="70">
        <f t="shared" si="3"/>
        <v>39523.44</v>
      </c>
      <c r="Q8" s="70">
        <f t="shared" si="3"/>
        <v>180029.82</v>
      </c>
      <c r="R8" s="70">
        <f t="shared" si="3"/>
        <v>14112.89</v>
      </c>
      <c r="S8" s="70">
        <f t="shared" si="3"/>
        <v>77203.1</v>
      </c>
      <c r="T8" s="70">
        <f t="shared" si="3"/>
        <v>12277984.370000001</v>
      </c>
      <c r="U8" s="70">
        <f t="shared" si="3"/>
        <v>1553674.1600000001</v>
      </c>
      <c r="V8" s="70">
        <f t="shared" si="3"/>
        <v>871755.01</v>
      </c>
      <c r="W8" s="70">
        <f t="shared" si="3"/>
        <v>9852555.2</v>
      </c>
      <c r="X8" s="70">
        <f t="shared" si="3"/>
        <v>0</v>
      </c>
      <c r="Y8" s="70">
        <f t="shared" si="3"/>
        <v>0</v>
      </c>
      <c r="Z8" s="70">
        <f t="shared" si="3"/>
        <v>0</v>
      </c>
      <c r="AA8" s="70">
        <f t="shared" si="3"/>
        <v>0</v>
      </c>
      <c r="AB8" s="70">
        <f t="shared" si="3"/>
        <v>0</v>
      </c>
      <c r="AC8" s="70">
        <f t="shared" si="3"/>
        <v>6560</v>
      </c>
      <c r="AD8" s="70"/>
      <c r="AE8" s="70">
        <f t="shared" si="3"/>
        <v>36950.04</v>
      </c>
      <c r="AF8" s="70">
        <f t="shared" si="3"/>
        <v>3537</v>
      </c>
      <c r="AG8" s="70">
        <f t="shared" si="3"/>
        <v>0</v>
      </c>
      <c r="AH8" s="70">
        <f t="shared" si="3"/>
        <v>16432070.54</v>
      </c>
      <c r="AI8" s="70">
        <f t="shared" si="3"/>
        <v>11718149.04</v>
      </c>
      <c r="AJ8" s="89">
        <f t="shared" si="2"/>
        <v>10702132.939999998</v>
      </c>
    </row>
    <row r="9" spans="1:62" s="15" customFormat="1" ht="12.75">
      <c r="A9" s="10" t="s">
        <v>67</v>
      </c>
      <c r="B9" s="10" t="s">
        <v>26</v>
      </c>
      <c r="C9" s="65">
        <f>SUM(AJ7)</f>
        <v>10702132.940000001</v>
      </c>
      <c r="D9" s="65">
        <f t="shared" si="1"/>
        <v>2007822.37</v>
      </c>
      <c r="E9" s="66">
        <v>402113.68</v>
      </c>
      <c r="F9" s="66">
        <v>9089.97</v>
      </c>
      <c r="G9" s="66">
        <v>61606.93</v>
      </c>
      <c r="H9" s="66">
        <v>14807.99</v>
      </c>
      <c r="I9" s="66">
        <v>38724.87</v>
      </c>
      <c r="J9" s="92">
        <v>53469.1</v>
      </c>
      <c r="K9" s="66">
        <v>217677.28</v>
      </c>
      <c r="L9" s="66">
        <v>299907.21</v>
      </c>
      <c r="M9" s="66">
        <v>334537.65</v>
      </c>
      <c r="N9" s="66">
        <v>466111.57</v>
      </c>
      <c r="O9" s="66"/>
      <c r="P9" s="66">
        <v>19761.63</v>
      </c>
      <c r="Q9" s="66">
        <v>90014.49</v>
      </c>
      <c r="R9" s="66">
        <v>6198.78</v>
      </c>
      <c r="S9" s="66">
        <v>38783.81</v>
      </c>
      <c r="T9" s="66">
        <v>4611392.8</v>
      </c>
      <c r="U9" s="66">
        <v>714118.23</v>
      </c>
      <c r="V9" s="66">
        <v>420449.23</v>
      </c>
      <c r="W9" s="66">
        <v>3419829.22</v>
      </c>
      <c r="X9" s="66"/>
      <c r="Y9" s="66"/>
      <c r="Z9" s="66">
        <v>56996.12</v>
      </c>
      <c r="AA9" s="66"/>
      <c r="AB9" s="66"/>
      <c r="AC9" s="66">
        <v>3280</v>
      </c>
      <c r="AD9" s="66"/>
      <c r="AE9" s="66">
        <v>18475.02</v>
      </c>
      <c r="AF9" s="66">
        <v>1755</v>
      </c>
      <c r="AG9" s="66"/>
      <c r="AH9" s="66">
        <v>6687707.78</v>
      </c>
      <c r="AI9" s="66">
        <v>8968331.96</v>
      </c>
      <c r="AJ9" s="66">
        <f t="shared" si="2"/>
        <v>8421508.760000002</v>
      </c>
      <c r="AL9" s="34"/>
      <c r="AM9" s="25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1:38" s="42" customFormat="1" ht="12">
      <c r="A10" s="39"/>
      <c r="B10" s="39" t="s">
        <v>68</v>
      </c>
      <c r="C10" s="70">
        <f>SUM(C6)</f>
        <v>5988211.4399999995</v>
      </c>
      <c r="D10" s="71">
        <f t="shared" si="1"/>
        <v>6023545.510000001</v>
      </c>
      <c r="E10" s="70">
        <f>SUM(E9,E8)</f>
        <v>1206344.72</v>
      </c>
      <c r="F10" s="70">
        <f aca="true" t="shared" si="4" ref="F10:AI10">SUM(F9,F8)</f>
        <v>27269.989999999998</v>
      </c>
      <c r="G10" s="70">
        <f t="shared" si="4"/>
        <v>184821.35</v>
      </c>
      <c r="H10" s="70">
        <f t="shared" si="4"/>
        <v>44424.11</v>
      </c>
      <c r="I10" s="70">
        <f t="shared" si="4"/>
        <v>116174.97</v>
      </c>
      <c r="J10" s="70">
        <f t="shared" si="4"/>
        <v>160407.8</v>
      </c>
      <c r="K10" s="70">
        <f t="shared" si="4"/>
        <v>653033.88</v>
      </c>
      <c r="L10" s="70">
        <f t="shared" si="4"/>
        <v>899784.3699999999</v>
      </c>
      <c r="M10" s="70">
        <f t="shared" si="4"/>
        <v>1003615.99</v>
      </c>
      <c r="N10" s="70">
        <f t="shared" si="4"/>
        <v>1398338.95</v>
      </c>
      <c r="O10" s="70">
        <f t="shared" si="4"/>
        <v>0</v>
      </c>
      <c r="P10" s="70">
        <f t="shared" si="4"/>
        <v>59285.07000000001</v>
      </c>
      <c r="Q10" s="70">
        <f t="shared" si="4"/>
        <v>270044.31</v>
      </c>
      <c r="R10" s="70">
        <f t="shared" si="4"/>
        <v>20311.67</v>
      </c>
      <c r="S10" s="70">
        <f t="shared" si="4"/>
        <v>115986.91</v>
      </c>
      <c r="T10" s="70">
        <f t="shared" si="4"/>
        <v>16889377.17</v>
      </c>
      <c r="U10" s="70">
        <f t="shared" si="4"/>
        <v>2267792.39</v>
      </c>
      <c r="V10" s="70">
        <f t="shared" si="4"/>
        <v>1292204.24</v>
      </c>
      <c r="W10" s="70">
        <f t="shared" si="4"/>
        <v>13272384.42</v>
      </c>
      <c r="X10" s="70">
        <f t="shared" si="4"/>
        <v>0</v>
      </c>
      <c r="Y10" s="70">
        <f t="shared" si="4"/>
        <v>0</v>
      </c>
      <c r="Z10" s="70">
        <f t="shared" si="4"/>
        <v>56996.12</v>
      </c>
      <c r="AA10" s="70">
        <f t="shared" si="4"/>
        <v>0</v>
      </c>
      <c r="AB10" s="70">
        <f t="shared" si="4"/>
        <v>0</v>
      </c>
      <c r="AC10" s="70">
        <f t="shared" si="4"/>
        <v>9840</v>
      </c>
      <c r="AD10" s="70"/>
      <c r="AE10" s="70">
        <f t="shared" si="4"/>
        <v>55425.06</v>
      </c>
      <c r="AF10" s="70">
        <f t="shared" si="4"/>
        <v>5292</v>
      </c>
      <c r="AG10" s="70">
        <f t="shared" si="4"/>
        <v>0</v>
      </c>
      <c r="AH10" s="70">
        <f t="shared" si="4"/>
        <v>23119778.32</v>
      </c>
      <c r="AI10" s="70">
        <f t="shared" si="4"/>
        <v>20686481</v>
      </c>
      <c r="AJ10" s="89">
        <f t="shared" si="2"/>
        <v>8421508.759999998</v>
      </c>
      <c r="AL10" s="81">
        <f>SUM(AJ10)-'22-ЖКХ'!AA10</f>
        <v>8421508.759999998</v>
      </c>
    </row>
    <row r="11" spans="1:62" s="15" customFormat="1" ht="12.75">
      <c r="A11" s="10" t="s">
        <v>69</v>
      </c>
      <c r="B11" s="10" t="s">
        <v>26</v>
      </c>
      <c r="C11" s="65">
        <f>SUM(AJ9)</f>
        <v>8421508.760000002</v>
      </c>
      <c r="D11" s="65">
        <f t="shared" si="1"/>
        <v>2007870.09</v>
      </c>
      <c r="E11" s="66">
        <v>402105.37</v>
      </c>
      <c r="F11" s="66">
        <v>9089.78</v>
      </c>
      <c r="G11" s="66">
        <v>61605.65</v>
      </c>
      <c r="H11" s="66">
        <v>14807.67</v>
      </c>
      <c r="I11" s="66">
        <v>38724.06</v>
      </c>
      <c r="J11" s="92">
        <v>53467.99</v>
      </c>
      <c r="K11" s="66">
        <v>217672.67</v>
      </c>
      <c r="L11" s="66">
        <v>299990.37</v>
      </c>
      <c r="M11" s="66">
        <v>334530.78</v>
      </c>
      <c r="N11" s="66">
        <v>466101.94</v>
      </c>
      <c r="O11" s="66"/>
      <c r="P11" s="66">
        <v>19761.22</v>
      </c>
      <c r="Q11" s="66">
        <v>90012.59</v>
      </c>
      <c r="R11" s="66">
        <v>4301.32</v>
      </c>
      <c r="S11" s="66">
        <v>37880.7</v>
      </c>
      <c r="T11" s="66">
        <v>3861675.72</v>
      </c>
      <c r="U11" s="66">
        <v>795324.24</v>
      </c>
      <c r="V11" s="66">
        <v>458210.88</v>
      </c>
      <c r="W11" s="66">
        <v>2544669.98</v>
      </c>
      <c r="X11" s="66"/>
      <c r="Y11" s="66"/>
      <c r="Z11" s="66">
        <v>63470.62</v>
      </c>
      <c r="AA11" s="66"/>
      <c r="AB11" s="66"/>
      <c r="AC11" s="66">
        <v>3200</v>
      </c>
      <c r="AD11" s="66"/>
      <c r="AE11" s="66">
        <v>18475.02</v>
      </c>
      <c r="AF11" s="66">
        <v>1728</v>
      </c>
      <c r="AG11" s="66"/>
      <c r="AH11" s="66">
        <v>5935130.85</v>
      </c>
      <c r="AI11" s="66">
        <v>5673526.44</v>
      </c>
      <c r="AJ11" s="66">
        <f t="shared" si="2"/>
        <v>8683113.170000002</v>
      </c>
      <c r="AL11" s="34"/>
      <c r="AM11" s="25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36" s="42" customFormat="1" ht="12">
      <c r="A12" s="39"/>
      <c r="B12" s="39" t="s">
        <v>70</v>
      </c>
      <c r="C12" s="70">
        <f>SUM(C8)</f>
        <v>5988211.4399999995</v>
      </c>
      <c r="D12" s="71">
        <f t="shared" si="1"/>
        <v>8031415.6</v>
      </c>
      <c r="E12" s="70">
        <f>SUM(E11,E10)</f>
        <v>1608450.0899999999</v>
      </c>
      <c r="F12" s="70">
        <f aca="true" t="shared" si="5" ref="F12:AI12">SUM(F11,F10)</f>
        <v>36359.77</v>
      </c>
      <c r="G12" s="70">
        <f t="shared" si="5"/>
        <v>246427</v>
      </c>
      <c r="H12" s="70">
        <f t="shared" si="5"/>
        <v>59231.78</v>
      </c>
      <c r="I12" s="70">
        <f t="shared" si="5"/>
        <v>154899.03</v>
      </c>
      <c r="J12" s="70">
        <f t="shared" si="5"/>
        <v>213875.78999999998</v>
      </c>
      <c r="K12" s="70">
        <f t="shared" si="5"/>
        <v>870706.55</v>
      </c>
      <c r="L12" s="70">
        <f t="shared" si="5"/>
        <v>1199774.7399999998</v>
      </c>
      <c r="M12" s="70">
        <f t="shared" si="5"/>
        <v>1338146.77</v>
      </c>
      <c r="N12" s="70">
        <f t="shared" si="5"/>
        <v>1864440.89</v>
      </c>
      <c r="O12" s="70">
        <f t="shared" si="5"/>
        <v>0</v>
      </c>
      <c r="P12" s="70">
        <f t="shared" si="5"/>
        <v>79046.29000000001</v>
      </c>
      <c r="Q12" s="70">
        <f t="shared" si="5"/>
        <v>360056.9</v>
      </c>
      <c r="R12" s="70">
        <f t="shared" si="5"/>
        <v>24612.989999999998</v>
      </c>
      <c r="S12" s="70">
        <f t="shared" si="5"/>
        <v>153867.61</v>
      </c>
      <c r="T12" s="70">
        <f t="shared" si="5"/>
        <v>20751052.89</v>
      </c>
      <c r="U12" s="70">
        <f t="shared" si="5"/>
        <v>3063116.63</v>
      </c>
      <c r="V12" s="70">
        <f t="shared" si="5"/>
        <v>1750415.12</v>
      </c>
      <c r="W12" s="70">
        <f t="shared" si="5"/>
        <v>15817054.4</v>
      </c>
      <c r="X12" s="70">
        <f t="shared" si="5"/>
        <v>0</v>
      </c>
      <c r="Y12" s="70">
        <f t="shared" si="5"/>
        <v>0</v>
      </c>
      <c r="Z12" s="70">
        <f t="shared" si="5"/>
        <v>120466.74</v>
      </c>
      <c r="AA12" s="70">
        <f t="shared" si="5"/>
        <v>0</v>
      </c>
      <c r="AB12" s="70">
        <f t="shared" si="5"/>
        <v>0</v>
      </c>
      <c r="AC12" s="70">
        <f t="shared" si="5"/>
        <v>13040</v>
      </c>
      <c r="AD12" s="70"/>
      <c r="AE12" s="70">
        <f t="shared" si="5"/>
        <v>73900.08</v>
      </c>
      <c r="AF12" s="70">
        <f t="shared" si="5"/>
        <v>7020</v>
      </c>
      <c r="AG12" s="70">
        <f t="shared" si="5"/>
        <v>0</v>
      </c>
      <c r="AH12" s="70">
        <f t="shared" si="5"/>
        <v>29054909.17</v>
      </c>
      <c r="AI12" s="70">
        <f t="shared" si="5"/>
        <v>26360007.44</v>
      </c>
      <c r="AJ12" s="89">
        <f t="shared" si="2"/>
        <v>8683113.169999998</v>
      </c>
    </row>
    <row r="13" spans="1:62" s="15" customFormat="1" ht="12.75">
      <c r="A13" s="10" t="s">
        <v>71</v>
      </c>
      <c r="B13" s="10" t="s">
        <v>26</v>
      </c>
      <c r="C13" s="65">
        <f>SUM(AJ11)</f>
        <v>8683113.170000002</v>
      </c>
      <c r="D13" s="65">
        <f t="shared" si="1"/>
        <v>2007887.1400000001</v>
      </c>
      <c r="E13" s="66">
        <v>402113.17</v>
      </c>
      <c r="F13" s="66">
        <v>9089.96</v>
      </c>
      <c r="G13" s="66">
        <v>61606.85</v>
      </c>
      <c r="H13" s="66">
        <v>14807.97</v>
      </c>
      <c r="I13" s="66">
        <v>38724.81</v>
      </c>
      <c r="J13" s="92">
        <v>53469.04</v>
      </c>
      <c r="K13" s="66">
        <v>217676.99</v>
      </c>
      <c r="L13" s="66">
        <v>299974.17</v>
      </c>
      <c r="M13" s="66">
        <v>334537.23</v>
      </c>
      <c r="N13" s="66">
        <v>466110.96</v>
      </c>
      <c r="O13" s="66"/>
      <c r="P13" s="66">
        <v>19761.61</v>
      </c>
      <c r="Q13" s="66">
        <v>90014.38</v>
      </c>
      <c r="R13" s="66">
        <v>6755.91</v>
      </c>
      <c r="S13" s="66">
        <v>38043.75</v>
      </c>
      <c r="T13" s="66">
        <v>1373257.69</v>
      </c>
      <c r="U13" s="66">
        <v>734500</v>
      </c>
      <c r="V13" s="66">
        <v>432370.54</v>
      </c>
      <c r="W13" s="66">
        <v>155473.21</v>
      </c>
      <c r="X13" s="66"/>
      <c r="Y13" s="66"/>
      <c r="Z13" s="66">
        <v>50913.94</v>
      </c>
      <c r="AA13" s="66"/>
      <c r="AB13" s="66"/>
      <c r="AC13" s="66">
        <v>3200</v>
      </c>
      <c r="AD13" s="66"/>
      <c r="AE13" s="66">
        <v>18475.02</v>
      </c>
      <c r="AF13" s="66">
        <v>1728</v>
      </c>
      <c r="AG13" s="66"/>
      <c r="AH13" s="66">
        <v>3449347.51</v>
      </c>
      <c r="AI13" s="66">
        <v>5128043.09</v>
      </c>
      <c r="AJ13" s="66">
        <f t="shared" si="2"/>
        <v>7004417.590000002</v>
      </c>
      <c r="AL13" s="34"/>
      <c r="AM13" s="25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1:36" s="42" customFormat="1" ht="12">
      <c r="A14" s="39"/>
      <c r="B14" s="39" t="s">
        <v>72</v>
      </c>
      <c r="C14" s="70">
        <f>SUM(C10)</f>
        <v>5988211.4399999995</v>
      </c>
      <c r="D14" s="71">
        <f>SUM(E14:Q14)</f>
        <v>10039302.739999998</v>
      </c>
      <c r="E14" s="70">
        <f>SUM(E13,E12)</f>
        <v>2010563.2599999998</v>
      </c>
      <c r="F14" s="70">
        <f aca="true" t="shared" si="6" ref="F14:AI14">SUM(F13,F12)</f>
        <v>45449.729999999996</v>
      </c>
      <c r="G14" s="70">
        <f t="shared" si="6"/>
        <v>308033.85</v>
      </c>
      <c r="H14" s="70">
        <f t="shared" si="6"/>
        <v>74039.75</v>
      </c>
      <c r="I14" s="70">
        <f t="shared" si="6"/>
        <v>193623.84</v>
      </c>
      <c r="J14" s="70">
        <f t="shared" si="6"/>
        <v>267344.82999999996</v>
      </c>
      <c r="K14" s="70">
        <f t="shared" si="6"/>
        <v>1088383.54</v>
      </c>
      <c r="L14" s="70">
        <f t="shared" si="6"/>
        <v>1499748.9099999997</v>
      </c>
      <c r="M14" s="70">
        <f t="shared" si="6"/>
        <v>1672684</v>
      </c>
      <c r="N14" s="70">
        <f t="shared" si="6"/>
        <v>2330551.85</v>
      </c>
      <c r="O14" s="70">
        <f t="shared" si="6"/>
        <v>0</v>
      </c>
      <c r="P14" s="70">
        <f t="shared" si="6"/>
        <v>98807.90000000001</v>
      </c>
      <c r="Q14" s="70">
        <f t="shared" si="6"/>
        <v>450071.28</v>
      </c>
      <c r="R14" s="70">
        <f t="shared" si="6"/>
        <v>31368.899999999998</v>
      </c>
      <c r="S14" s="70">
        <f t="shared" si="6"/>
        <v>191911.36</v>
      </c>
      <c r="T14" s="70">
        <f t="shared" si="6"/>
        <v>22124310.580000002</v>
      </c>
      <c r="U14" s="70">
        <f t="shared" si="6"/>
        <v>3797616.63</v>
      </c>
      <c r="V14" s="70">
        <f t="shared" si="6"/>
        <v>2182785.66</v>
      </c>
      <c r="W14" s="70">
        <f t="shared" si="6"/>
        <v>15972527.610000001</v>
      </c>
      <c r="X14" s="70">
        <f t="shared" si="6"/>
        <v>0</v>
      </c>
      <c r="Y14" s="70">
        <f t="shared" si="6"/>
        <v>0</v>
      </c>
      <c r="Z14" s="70">
        <f t="shared" si="6"/>
        <v>171380.68</v>
      </c>
      <c r="AA14" s="70">
        <f t="shared" si="6"/>
        <v>0</v>
      </c>
      <c r="AB14" s="70">
        <f t="shared" si="6"/>
        <v>0</v>
      </c>
      <c r="AC14" s="70">
        <f t="shared" si="6"/>
        <v>16240</v>
      </c>
      <c r="AD14" s="70"/>
      <c r="AE14" s="70">
        <f t="shared" si="6"/>
        <v>92375.1</v>
      </c>
      <c r="AF14" s="70">
        <f t="shared" si="6"/>
        <v>8748</v>
      </c>
      <c r="AG14" s="70">
        <f t="shared" si="6"/>
        <v>0</v>
      </c>
      <c r="AH14" s="70">
        <f t="shared" si="6"/>
        <v>32504256.68</v>
      </c>
      <c r="AI14" s="70">
        <f t="shared" si="6"/>
        <v>31488050.53</v>
      </c>
      <c r="AJ14" s="89">
        <f t="shared" si="2"/>
        <v>7004417.589999996</v>
      </c>
    </row>
    <row r="15" spans="1:62" s="15" customFormat="1" ht="12.75">
      <c r="A15" s="10" t="s">
        <v>73</v>
      </c>
      <c r="B15" s="10" t="s">
        <v>26</v>
      </c>
      <c r="C15" s="65">
        <f>SUM(AJ13)</f>
        <v>7004417.590000002</v>
      </c>
      <c r="D15" s="65">
        <f>SUM(E15:Q15)</f>
        <v>2043275.54</v>
      </c>
      <c r="E15" s="66">
        <v>402105.9</v>
      </c>
      <c r="F15" s="66">
        <v>9089.78</v>
      </c>
      <c r="G15" s="66">
        <v>61605.72</v>
      </c>
      <c r="H15" s="66">
        <v>14807.68</v>
      </c>
      <c r="I15" s="66">
        <v>38724.1</v>
      </c>
      <c r="J15" s="92">
        <v>53468.07</v>
      </c>
      <c r="K15" s="66">
        <v>217672.97</v>
      </c>
      <c r="L15" s="66">
        <v>299703.72</v>
      </c>
      <c r="M15" s="66">
        <v>334531.22</v>
      </c>
      <c r="N15" s="66">
        <v>501792.38</v>
      </c>
      <c r="O15" s="66"/>
      <c r="P15" s="66">
        <v>19761.27</v>
      </c>
      <c r="Q15" s="66">
        <v>90012.73</v>
      </c>
      <c r="R15" s="66">
        <v>733.47</v>
      </c>
      <c r="S15" s="66">
        <v>38043.75</v>
      </c>
      <c r="T15" s="66">
        <v>1213040.99</v>
      </c>
      <c r="U15" s="66">
        <v>735786.09</v>
      </c>
      <c r="V15" s="66">
        <v>422776.69</v>
      </c>
      <c r="W15" s="66"/>
      <c r="X15" s="66"/>
      <c r="Y15" s="66"/>
      <c r="Z15" s="66">
        <v>54478.21</v>
      </c>
      <c r="AA15" s="66"/>
      <c r="AB15" s="66"/>
      <c r="AC15" s="66">
        <v>3120</v>
      </c>
      <c r="AD15" s="66"/>
      <c r="AE15" s="66">
        <v>18525</v>
      </c>
      <c r="AF15" s="66">
        <v>1728</v>
      </c>
      <c r="AG15" s="66"/>
      <c r="AH15" s="66">
        <v>3318466.75</v>
      </c>
      <c r="AI15" s="66">
        <v>3876982.06</v>
      </c>
      <c r="AJ15" s="66">
        <f t="shared" si="2"/>
        <v>6445902.280000001</v>
      </c>
      <c r="AL15" s="34"/>
      <c r="AM15" s="25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1:36" s="42" customFormat="1" ht="12">
      <c r="A16" s="39"/>
      <c r="B16" s="39" t="s">
        <v>74</v>
      </c>
      <c r="C16" s="70">
        <f>SUM(C12)</f>
        <v>5988211.4399999995</v>
      </c>
      <c r="D16" s="71">
        <f>SUM(E16:Q16)</f>
        <v>12082578.28</v>
      </c>
      <c r="E16" s="70">
        <f>SUM(E15,E14)</f>
        <v>2412669.1599999997</v>
      </c>
      <c r="F16" s="70">
        <f aca="true" t="shared" si="7" ref="F16:AI16">SUM(F15,F14)</f>
        <v>54539.509999999995</v>
      </c>
      <c r="G16" s="70">
        <f t="shared" si="7"/>
        <v>369639.56999999995</v>
      </c>
      <c r="H16" s="70">
        <f t="shared" si="7"/>
        <v>88847.43</v>
      </c>
      <c r="I16" s="70">
        <f t="shared" si="7"/>
        <v>232347.94</v>
      </c>
      <c r="J16" s="70">
        <f t="shared" si="7"/>
        <v>320812.89999999997</v>
      </c>
      <c r="K16" s="70">
        <f t="shared" si="7"/>
        <v>1306056.51</v>
      </c>
      <c r="L16" s="70">
        <f t="shared" si="7"/>
        <v>1799452.6299999997</v>
      </c>
      <c r="M16" s="70">
        <f t="shared" si="7"/>
        <v>2007215.22</v>
      </c>
      <c r="N16" s="70">
        <f t="shared" si="7"/>
        <v>2832344.23</v>
      </c>
      <c r="O16" s="70">
        <f t="shared" si="7"/>
        <v>0</v>
      </c>
      <c r="P16" s="70">
        <f t="shared" si="7"/>
        <v>118569.17000000001</v>
      </c>
      <c r="Q16" s="70">
        <f t="shared" si="7"/>
        <v>540084.01</v>
      </c>
      <c r="R16" s="70">
        <f t="shared" si="7"/>
        <v>32102.37</v>
      </c>
      <c r="S16" s="70">
        <f t="shared" si="7"/>
        <v>229955.11</v>
      </c>
      <c r="T16" s="70">
        <f t="shared" si="7"/>
        <v>23337351.57</v>
      </c>
      <c r="U16" s="70">
        <f t="shared" si="7"/>
        <v>4533402.72</v>
      </c>
      <c r="V16" s="70">
        <f t="shared" si="7"/>
        <v>2605562.35</v>
      </c>
      <c r="W16" s="70">
        <f t="shared" si="7"/>
        <v>15972527.610000001</v>
      </c>
      <c r="X16" s="70">
        <f t="shared" si="7"/>
        <v>0</v>
      </c>
      <c r="Y16" s="70">
        <f t="shared" si="7"/>
        <v>0</v>
      </c>
      <c r="Z16" s="70">
        <f t="shared" si="7"/>
        <v>225858.88999999998</v>
      </c>
      <c r="AA16" s="70">
        <f t="shared" si="7"/>
        <v>0</v>
      </c>
      <c r="AB16" s="70">
        <f t="shared" si="7"/>
        <v>0</v>
      </c>
      <c r="AC16" s="70">
        <f t="shared" si="7"/>
        <v>19360</v>
      </c>
      <c r="AD16" s="70"/>
      <c r="AE16" s="70">
        <f t="shared" si="7"/>
        <v>110900.1</v>
      </c>
      <c r="AF16" s="70">
        <f t="shared" si="7"/>
        <v>10476</v>
      </c>
      <c r="AG16" s="70">
        <f t="shared" si="7"/>
        <v>0</v>
      </c>
      <c r="AH16" s="70">
        <f t="shared" si="7"/>
        <v>35822723.43</v>
      </c>
      <c r="AI16" s="70">
        <f t="shared" si="7"/>
        <v>35365032.59</v>
      </c>
      <c r="AJ16" s="89">
        <f t="shared" si="2"/>
        <v>6445902.279999994</v>
      </c>
    </row>
    <row r="17" spans="1:62" s="15" customFormat="1" ht="12.75">
      <c r="A17" s="10" t="s">
        <v>79</v>
      </c>
      <c r="B17" s="10" t="s">
        <v>26</v>
      </c>
      <c r="C17" s="65">
        <f>SUM(AJ15)</f>
        <v>6445902.280000001</v>
      </c>
      <c r="D17" s="65">
        <f>SUM(E17:Q17)</f>
        <v>2166010.6399999997</v>
      </c>
      <c r="E17" s="66">
        <v>431165.57</v>
      </c>
      <c r="F17" s="66">
        <v>10227.47</v>
      </c>
      <c r="G17" s="66">
        <v>66255.82</v>
      </c>
      <c r="H17" s="66">
        <v>14807.83</v>
      </c>
      <c r="I17" s="66">
        <v>38724.5</v>
      </c>
      <c r="J17" s="92">
        <v>56956.75</v>
      </c>
      <c r="K17" s="66">
        <v>232419.62</v>
      </c>
      <c r="L17" s="66">
        <v>327629.61</v>
      </c>
      <c r="M17" s="66">
        <v>368249.08</v>
      </c>
      <c r="N17" s="66">
        <v>501797.13</v>
      </c>
      <c r="O17" s="66"/>
      <c r="P17" s="66">
        <v>20922.26</v>
      </c>
      <c r="Q17" s="66">
        <v>96855</v>
      </c>
      <c r="R17" s="66">
        <v>8392.12</v>
      </c>
      <c r="S17" s="66">
        <v>41354.36</v>
      </c>
      <c r="T17" s="66">
        <v>1435205.8</v>
      </c>
      <c r="U17" s="66">
        <v>910016.02</v>
      </c>
      <c r="V17" s="66">
        <v>472379.29</v>
      </c>
      <c r="W17" s="66"/>
      <c r="X17" s="66"/>
      <c r="Y17" s="66"/>
      <c r="Z17" s="66">
        <v>52810.49</v>
      </c>
      <c r="AA17" s="66"/>
      <c r="AB17" s="66"/>
      <c r="AC17" s="66">
        <v>3120</v>
      </c>
      <c r="AD17" s="66"/>
      <c r="AE17" s="66">
        <v>18500.02</v>
      </c>
      <c r="AF17" s="66">
        <v>1701</v>
      </c>
      <c r="AG17" s="66"/>
      <c r="AH17" s="66">
        <v>3674283.94</v>
      </c>
      <c r="AI17" s="66">
        <v>3224190.61</v>
      </c>
      <c r="AJ17" s="66">
        <f t="shared" si="2"/>
        <v>6895995.610000001</v>
      </c>
      <c r="AL17" s="34"/>
      <c r="AM17" s="25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pans="1:36" s="42" customFormat="1" ht="12">
      <c r="A18" s="39"/>
      <c r="B18" s="39" t="s">
        <v>88</v>
      </c>
      <c r="C18" s="70">
        <f>SUM(C14)</f>
        <v>5988211.4399999995</v>
      </c>
      <c r="D18" s="71">
        <f>SUM(E18:Q18)</f>
        <v>14248588.919999996</v>
      </c>
      <c r="E18" s="70">
        <f>SUM(E17,E16)</f>
        <v>2843834.7299999995</v>
      </c>
      <c r="F18" s="70">
        <f aca="true" t="shared" si="8" ref="F18:AI18">SUM(F17,F16)</f>
        <v>64766.979999999996</v>
      </c>
      <c r="G18" s="70">
        <f t="shared" si="8"/>
        <v>435895.38999999996</v>
      </c>
      <c r="H18" s="70">
        <f t="shared" si="8"/>
        <v>103655.26</v>
      </c>
      <c r="I18" s="70">
        <f t="shared" si="8"/>
        <v>271072.44</v>
      </c>
      <c r="J18" s="70">
        <f t="shared" si="8"/>
        <v>377769.64999999997</v>
      </c>
      <c r="K18" s="70">
        <f t="shared" si="8"/>
        <v>1538476.13</v>
      </c>
      <c r="L18" s="70">
        <f t="shared" si="8"/>
        <v>2127082.2399999998</v>
      </c>
      <c r="M18" s="70">
        <f t="shared" si="8"/>
        <v>2375464.3</v>
      </c>
      <c r="N18" s="70">
        <f t="shared" si="8"/>
        <v>3334141.36</v>
      </c>
      <c r="O18" s="70">
        <f t="shared" si="8"/>
        <v>0</v>
      </c>
      <c r="P18" s="70">
        <f t="shared" si="8"/>
        <v>139491.43000000002</v>
      </c>
      <c r="Q18" s="70">
        <f t="shared" si="8"/>
        <v>636939.01</v>
      </c>
      <c r="R18" s="70">
        <f t="shared" si="8"/>
        <v>40494.49</v>
      </c>
      <c r="S18" s="70">
        <f t="shared" si="8"/>
        <v>271309.47</v>
      </c>
      <c r="T18" s="70">
        <f t="shared" si="8"/>
        <v>24772557.37</v>
      </c>
      <c r="U18" s="70">
        <f t="shared" si="8"/>
        <v>5443418.74</v>
      </c>
      <c r="V18" s="70">
        <f t="shared" si="8"/>
        <v>3077941.64</v>
      </c>
      <c r="W18" s="70">
        <f t="shared" si="8"/>
        <v>15972527.610000001</v>
      </c>
      <c r="X18" s="70">
        <f t="shared" si="8"/>
        <v>0</v>
      </c>
      <c r="Y18" s="70">
        <f t="shared" si="8"/>
        <v>0</v>
      </c>
      <c r="Z18" s="70">
        <f t="shared" si="8"/>
        <v>278669.38</v>
      </c>
      <c r="AA18" s="70">
        <f t="shared" si="8"/>
        <v>0</v>
      </c>
      <c r="AB18" s="70">
        <f t="shared" si="8"/>
        <v>0</v>
      </c>
      <c r="AC18" s="70">
        <f t="shared" si="8"/>
        <v>22480</v>
      </c>
      <c r="AD18" s="70">
        <f t="shared" si="8"/>
        <v>0</v>
      </c>
      <c r="AE18" s="70">
        <f t="shared" si="8"/>
        <v>129400.12000000001</v>
      </c>
      <c r="AF18" s="70">
        <f t="shared" si="8"/>
        <v>12177</v>
      </c>
      <c r="AG18" s="70">
        <f t="shared" si="8"/>
        <v>0</v>
      </c>
      <c r="AH18" s="70">
        <f t="shared" si="8"/>
        <v>39497007.37</v>
      </c>
      <c r="AI18" s="70">
        <f t="shared" si="8"/>
        <v>38589223.2</v>
      </c>
      <c r="AJ18" s="89">
        <f t="shared" si="2"/>
        <v>6895995.609999992</v>
      </c>
    </row>
    <row r="19" spans="1:62" s="15" customFormat="1" ht="12.75">
      <c r="A19" s="10" t="s">
        <v>80</v>
      </c>
      <c r="B19" s="10" t="s">
        <v>26</v>
      </c>
      <c r="C19" s="65">
        <f>SUM(AJ17)</f>
        <v>6895995.610000001</v>
      </c>
      <c r="D19" s="65">
        <f aca="true" t="shared" si="9" ref="D19:D25">SUM(E19:Q19)</f>
        <v>2166124.16</v>
      </c>
      <c r="E19" s="66">
        <v>431162.6</v>
      </c>
      <c r="F19" s="66">
        <v>10227.4</v>
      </c>
      <c r="G19" s="66">
        <v>66255.37</v>
      </c>
      <c r="H19" s="66">
        <v>14807.72</v>
      </c>
      <c r="I19" s="66">
        <v>38724.23</v>
      </c>
      <c r="J19" s="92">
        <v>56956.36</v>
      </c>
      <c r="K19" s="66">
        <v>232417.98</v>
      </c>
      <c r="L19" s="66">
        <v>327755.59</v>
      </c>
      <c r="M19" s="66">
        <v>368246.56</v>
      </c>
      <c r="N19" s="66">
        <v>501793.92</v>
      </c>
      <c r="O19" s="66"/>
      <c r="P19" s="66">
        <v>20922.11</v>
      </c>
      <c r="Q19" s="66">
        <v>96854.32</v>
      </c>
      <c r="R19" s="66">
        <v>5604.29</v>
      </c>
      <c r="S19" s="66">
        <v>41354.36</v>
      </c>
      <c r="T19" s="66">
        <v>1445073.29</v>
      </c>
      <c r="U19" s="66">
        <v>909672.18</v>
      </c>
      <c r="V19" s="66">
        <v>484162.53</v>
      </c>
      <c r="W19" s="66"/>
      <c r="X19" s="66"/>
      <c r="Y19" s="66"/>
      <c r="Z19" s="66">
        <v>51238.58</v>
      </c>
      <c r="AA19" s="66"/>
      <c r="AB19" s="66"/>
      <c r="AC19" s="66">
        <v>3120</v>
      </c>
      <c r="AD19" s="66"/>
      <c r="AE19" s="66">
        <v>25899.98</v>
      </c>
      <c r="AF19" s="66">
        <v>1701</v>
      </c>
      <c r="AG19" s="66"/>
      <c r="AH19" s="66">
        <v>3688877.08</v>
      </c>
      <c r="AI19" s="66">
        <v>4164665.61</v>
      </c>
      <c r="AJ19" s="66">
        <f t="shared" si="2"/>
        <v>6420207.080000002</v>
      </c>
      <c r="AL19" s="34"/>
      <c r="AM19" s="25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</row>
    <row r="20" spans="1:36" s="42" customFormat="1" ht="12">
      <c r="A20" s="39"/>
      <c r="B20" s="39" t="s">
        <v>89</v>
      </c>
      <c r="C20" s="70">
        <f>SUM(C16)</f>
        <v>5988211.4399999995</v>
      </c>
      <c r="D20" s="71">
        <f t="shared" si="9"/>
        <v>16414713.079999996</v>
      </c>
      <c r="E20" s="70">
        <f>SUM(E19,E18)</f>
        <v>3274997.3299999996</v>
      </c>
      <c r="F20" s="70">
        <f aca="true" t="shared" si="10" ref="F20:AD20">SUM(F19,F18)</f>
        <v>74994.37999999999</v>
      </c>
      <c r="G20" s="70">
        <f t="shared" si="10"/>
        <v>502150.75999999995</v>
      </c>
      <c r="H20" s="70">
        <f t="shared" si="10"/>
        <v>118462.98</v>
      </c>
      <c r="I20" s="70">
        <f t="shared" si="10"/>
        <v>309796.67</v>
      </c>
      <c r="J20" s="70">
        <f t="shared" si="10"/>
        <v>434726.00999999995</v>
      </c>
      <c r="K20" s="70">
        <f t="shared" si="10"/>
        <v>1770894.1099999999</v>
      </c>
      <c r="L20" s="70">
        <f t="shared" si="10"/>
        <v>2454837.8299999996</v>
      </c>
      <c r="M20" s="70">
        <f t="shared" si="10"/>
        <v>2743710.86</v>
      </c>
      <c r="N20" s="70">
        <f t="shared" si="10"/>
        <v>3835935.28</v>
      </c>
      <c r="O20" s="70">
        <f t="shared" si="10"/>
        <v>0</v>
      </c>
      <c r="P20" s="70">
        <f t="shared" si="10"/>
        <v>160413.54000000004</v>
      </c>
      <c r="Q20" s="70">
        <f t="shared" si="10"/>
        <v>733793.3300000001</v>
      </c>
      <c r="R20" s="70">
        <f t="shared" si="10"/>
        <v>46098.78</v>
      </c>
      <c r="S20" s="70">
        <f t="shared" si="10"/>
        <v>312663.82999999996</v>
      </c>
      <c r="T20" s="70">
        <f t="shared" si="10"/>
        <v>26217630.66</v>
      </c>
      <c r="U20" s="70">
        <f t="shared" si="10"/>
        <v>6353090.92</v>
      </c>
      <c r="V20" s="70">
        <f t="shared" si="10"/>
        <v>3562104.17</v>
      </c>
      <c r="W20" s="70">
        <f t="shared" si="10"/>
        <v>15972527.610000001</v>
      </c>
      <c r="X20" s="70">
        <f t="shared" si="10"/>
        <v>0</v>
      </c>
      <c r="Y20" s="70">
        <f t="shared" si="10"/>
        <v>0</v>
      </c>
      <c r="Z20" s="70">
        <f t="shared" si="10"/>
        <v>329907.96</v>
      </c>
      <c r="AA20" s="70">
        <f t="shared" si="10"/>
        <v>0</v>
      </c>
      <c r="AB20" s="70">
        <f t="shared" si="10"/>
        <v>0</v>
      </c>
      <c r="AC20" s="70">
        <f t="shared" si="10"/>
        <v>25600</v>
      </c>
      <c r="AD20" s="70">
        <f t="shared" si="10"/>
        <v>0</v>
      </c>
      <c r="AE20" s="70">
        <f>SUM(AE19,AE18)</f>
        <v>155300.1</v>
      </c>
      <c r="AF20" s="70">
        <f>SUM(AF19,AF18)</f>
        <v>13878</v>
      </c>
      <c r="AG20" s="70">
        <f>SUM(AG19,AG18)</f>
        <v>0</v>
      </c>
      <c r="AH20" s="70">
        <f>SUM(AH19,AH18)</f>
        <v>43185884.449999996</v>
      </c>
      <c r="AI20" s="70">
        <f>SUM(AI19,AI18)</f>
        <v>42753888.81</v>
      </c>
      <c r="AJ20" s="89">
        <f t="shared" si="2"/>
        <v>6420207.079999991</v>
      </c>
    </row>
    <row r="21" spans="1:62" s="15" customFormat="1" ht="12.75">
      <c r="A21" s="10" t="s">
        <v>81</v>
      </c>
      <c r="B21" s="10" t="s">
        <v>26</v>
      </c>
      <c r="C21" s="65">
        <f>SUM(AJ19)</f>
        <v>6420207.080000002</v>
      </c>
      <c r="D21" s="65">
        <f t="shared" si="9"/>
        <v>2166062.42</v>
      </c>
      <c r="E21" s="66">
        <v>431126.72</v>
      </c>
      <c r="F21" s="66">
        <v>10226.52</v>
      </c>
      <c r="G21" s="66">
        <v>66249.86</v>
      </c>
      <c r="H21" s="66">
        <v>14806.46</v>
      </c>
      <c r="I21" s="66">
        <v>38720.93</v>
      </c>
      <c r="J21" s="92">
        <v>56951.62</v>
      </c>
      <c r="K21" s="66">
        <v>232411.07</v>
      </c>
      <c r="L21" s="66">
        <v>327831.51</v>
      </c>
      <c r="M21" s="66">
        <v>368216.11</v>
      </c>
      <c r="N21" s="66">
        <v>501755.14</v>
      </c>
      <c r="O21" s="66"/>
      <c r="P21" s="66">
        <v>20920.37</v>
      </c>
      <c r="Q21" s="66">
        <v>96846.11</v>
      </c>
      <c r="R21" s="66">
        <v>6246.45</v>
      </c>
      <c r="S21" s="66">
        <v>39964.27</v>
      </c>
      <c r="T21" s="66">
        <v>1473495.77</v>
      </c>
      <c r="U21" s="66">
        <v>920018.74</v>
      </c>
      <c r="V21" s="66">
        <v>489457</v>
      </c>
      <c r="W21" s="66"/>
      <c r="X21" s="66"/>
      <c r="Y21" s="66"/>
      <c r="Z21" s="66">
        <v>64020.03</v>
      </c>
      <c r="AA21" s="66"/>
      <c r="AB21" s="66"/>
      <c r="AC21" s="66">
        <v>3510</v>
      </c>
      <c r="AD21" s="66"/>
      <c r="AE21" s="66">
        <v>21915</v>
      </c>
      <c r="AF21" s="66">
        <v>1701</v>
      </c>
      <c r="AG21" s="66"/>
      <c r="AH21" s="66">
        <v>3712894.91</v>
      </c>
      <c r="AI21" s="66">
        <v>3627316.72</v>
      </c>
      <c r="AJ21" s="66">
        <f t="shared" si="2"/>
        <v>6505785.270000001</v>
      </c>
      <c r="AL21" s="34"/>
      <c r="AM21" s="25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1:36" s="42" customFormat="1" ht="12">
      <c r="A22" s="39"/>
      <c r="B22" s="39" t="s">
        <v>91</v>
      </c>
      <c r="C22" s="70">
        <f>SUM(C18)</f>
        <v>5988211.4399999995</v>
      </c>
      <c r="D22" s="71">
        <f t="shared" si="9"/>
        <v>18580775.5</v>
      </c>
      <c r="E22" s="70">
        <f>SUM(E21,E20)</f>
        <v>3706124.05</v>
      </c>
      <c r="F22" s="70">
        <f aca="true" t="shared" si="11" ref="F22:AD22">SUM(F21,F20)</f>
        <v>85220.9</v>
      </c>
      <c r="G22" s="70">
        <f t="shared" si="11"/>
        <v>568400.62</v>
      </c>
      <c r="H22" s="70">
        <f t="shared" si="11"/>
        <v>133269.44</v>
      </c>
      <c r="I22" s="70">
        <f t="shared" si="11"/>
        <v>348517.6</v>
      </c>
      <c r="J22" s="70">
        <f t="shared" si="11"/>
        <v>491677.62999999995</v>
      </c>
      <c r="K22" s="70">
        <f t="shared" si="11"/>
        <v>2003305.18</v>
      </c>
      <c r="L22" s="70">
        <f t="shared" si="11"/>
        <v>2782669.34</v>
      </c>
      <c r="M22" s="70">
        <f t="shared" si="11"/>
        <v>3111926.9699999997</v>
      </c>
      <c r="N22" s="70">
        <f t="shared" si="11"/>
        <v>4337690.42</v>
      </c>
      <c r="O22" s="70">
        <f t="shared" si="11"/>
        <v>0</v>
      </c>
      <c r="P22" s="70">
        <f t="shared" si="11"/>
        <v>181333.91000000003</v>
      </c>
      <c r="Q22" s="70">
        <f t="shared" si="11"/>
        <v>830639.4400000001</v>
      </c>
      <c r="R22" s="70">
        <f t="shared" si="11"/>
        <v>52345.229999999996</v>
      </c>
      <c r="S22" s="70">
        <f t="shared" si="11"/>
        <v>352628.1</v>
      </c>
      <c r="T22" s="70">
        <f t="shared" si="11"/>
        <v>27691126.43</v>
      </c>
      <c r="U22" s="70">
        <f t="shared" si="11"/>
        <v>7273109.66</v>
      </c>
      <c r="V22" s="70">
        <f t="shared" si="11"/>
        <v>4051561.17</v>
      </c>
      <c r="W22" s="70">
        <f t="shared" si="11"/>
        <v>15972527.610000001</v>
      </c>
      <c r="X22" s="70">
        <f t="shared" si="11"/>
        <v>0</v>
      </c>
      <c r="Y22" s="70">
        <f t="shared" si="11"/>
        <v>0</v>
      </c>
      <c r="Z22" s="70">
        <f t="shared" si="11"/>
        <v>393927.99</v>
      </c>
      <c r="AA22" s="70">
        <f t="shared" si="11"/>
        <v>0</v>
      </c>
      <c r="AB22" s="70">
        <f t="shared" si="11"/>
        <v>0</v>
      </c>
      <c r="AC22" s="70">
        <f t="shared" si="11"/>
        <v>29110</v>
      </c>
      <c r="AD22" s="70">
        <f t="shared" si="11"/>
        <v>0</v>
      </c>
      <c r="AE22" s="70">
        <f>SUM(AE21,AE20)</f>
        <v>177215.1</v>
      </c>
      <c r="AF22" s="70">
        <f>SUM(AF21,AF20)</f>
        <v>15579</v>
      </c>
      <c r="AG22" s="70">
        <f>SUM(AG21,AG20)</f>
        <v>0</v>
      </c>
      <c r="AH22" s="70">
        <f>SUM(AH21,AH20)</f>
        <v>46898779.36</v>
      </c>
      <c r="AI22" s="70">
        <f>SUM(AI21,AI20)</f>
        <v>46381205.53</v>
      </c>
      <c r="AJ22" s="89">
        <f t="shared" si="2"/>
        <v>6505785.269999996</v>
      </c>
    </row>
    <row r="23" spans="1:62" s="15" customFormat="1" ht="12.75">
      <c r="A23" s="10" t="s">
        <v>82</v>
      </c>
      <c r="B23" s="10" t="s">
        <v>26</v>
      </c>
      <c r="C23" s="65">
        <f>SUM(AJ21)</f>
        <v>6505785.270000001</v>
      </c>
      <c r="D23" s="65">
        <f t="shared" si="9"/>
        <v>2130082.14</v>
      </c>
      <c r="E23" s="66">
        <f>SUM('Начисл.2016'!E23)</f>
        <v>431119.67</v>
      </c>
      <c r="F23" s="66">
        <f>SUM('Начисл.2016'!F23)</f>
        <v>10226.35</v>
      </c>
      <c r="G23" s="66">
        <f>SUM('Начисл.2016'!G23)</f>
        <v>66248.78</v>
      </c>
      <c r="H23" s="66">
        <f>SUM('Начисл.2016'!H23)</f>
        <v>14806.21</v>
      </c>
      <c r="I23" s="66">
        <f>SUM('Начисл.2016'!I23)</f>
        <v>38720.28</v>
      </c>
      <c r="J23" s="66">
        <f>SUM('Начисл.2016'!J23)</f>
        <v>56950.69</v>
      </c>
      <c r="K23" s="66">
        <f>SUM('Начисл.2016'!K23)</f>
        <v>232407.17</v>
      </c>
      <c r="L23" s="66">
        <f>SUM('Начисл.2016'!L23)</f>
        <v>327570.67</v>
      </c>
      <c r="M23" s="66">
        <f>SUM('Начисл.2016'!M23)</f>
        <v>368210.12</v>
      </c>
      <c r="N23" s="66">
        <f>SUM('Начисл.2016'!N23)</f>
        <v>466057.69</v>
      </c>
      <c r="O23" s="66">
        <f>SUM('Начисл.2016'!O23)</f>
        <v>0</v>
      </c>
      <c r="P23" s="66">
        <f>SUM('Начисл.2016'!P23)</f>
        <v>20920.02</v>
      </c>
      <c r="Q23" s="66">
        <f>SUM('Начисл.2016'!Q23)</f>
        <v>96844.49</v>
      </c>
      <c r="R23" s="66">
        <f>SUM('Начисл.2016'!R23)</f>
        <v>12311.9</v>
      </c>
      <c r="S23" s="66">
        <f>SUM('Начисл.2016'!S23)</f>
        <v>40330.02</v>
      </c>
      <c r="T23" s="66">
        <f>SUM('Начисл.2016'!T23)</f>
        <v>4050251.6999999997</v>
      </c>
      <c r="U23" s="66">
        <f>SUM('Начисл.2016'!U23)</f>
        <v>922114.88</v>
      </c>
      <c r="V23" s="66">
        <f>SUM('Начисл.2016'!V23)</f>
        <v>462621.62</v>
      </c>
      <c r="W23" s="66">
        <f>SUM('Начисл.2016'!W23)</f>
        <v>2598723.26</v>
      </c>
      <c r="X23" s="66">
        <f>SUM('Начисл.2016'!X23)</f>
        <v>0</v>
      </c>
      <c r="Y23" s="66">
        <f>SUM('Начисл.2016'!Y23)</f>
        <v>0</v>
      </c>
      <c r="Z23" s="66">
        <f>SUM('Начисл.2016'!Z23)</f>
        <v>66791.94</v>
      </c>
      <c r="AA23" s="66">
        <f>SUM('Начисл.2016'!AA23)</f>
        <v>0</v>
      </c>
      <c r="AB23" s="66">
        <f>SUM('Начисл.2016'!AB23)</f>
        <v>0</v>
      </c>
      <c r="AC23" s="66">
        <f>SUM('Начисл.2016'!AC23)</f>
        <v>3420</v>
      </c>
      <c r="AD23" s="66">
        <f>SUM('Начисл.2016'!AD23)</f>
        <v>0</v>
      </c>
      <c r="AE23" s="66">
        <f>SUM('Начисл.2016'!AE23)</f>
        <v>22105</v>
      </c>
      <c r="AF23" s="66">
        <f>SUM('Начисл.2016'!AF23)</f>
        <v>1701</v>
      </c>
      <c r="AG23" s="66">
        <f>SUM('Начисл.2016'!AG23)</f>
        <v>0</v>
      </c>
      <c r="AH23" s="66">
        <f>SUM('Начисл.2016'!AH23)</f>
        <v>6260201.76</v>
      </c>
      <c r="AI23" s="66">
        <f>SUM('Начисл.2016'!AI23)</f>
        <v>4984035.56</v>
      </c>
      <c r="AJ23" s="66">
        <f t="shared" si="2"/>
        <v>7781951.470000002</v>
      </c>
      <c r="AL23" s="34"/>
      <c r="AM23" s="25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</row>
    <row r="24" spans="1:36" s="42" customFormat="1" ht="12">
      <c r="A24" s="39"/>
      <c r="B24" s="39" t="s">
        <v>93</v>
      </c>
      <c r="C24" s="70">
        <f>SUM(C20)</f>
        <v>5988211.4399999995</v>
      </c>
      <c r="D24" s="71">
        <f t="shared" si="9"/>
        <v>20710857.64</v>
      </c>
      <c r="E24" s="70">
        <f>SUM(E23,E22)</f>
        <v>4137243.7199999997</v>
      </c>
      <c r="F24" s="70">
        <f aca="true" t="shared" si="12" ref="F24:AD24">SUM(F23,F22)</f>
        <v>95447.25</v>
      </c>
      <c r="G24" s="70">
        <f t="shared" si="12"/>
        <v>634649.4</v>
      </c>
      <c r="H24" s="70">
        <f t="shared" si="12"/>
        <v>148075.65</v>
      </c>
      <c r="I24" s="70">
        <f t="shared" si="12"/>
        <v>387237.88</v>
      </c>
      <c r="J24" s="70">
        <f t="shared" si="12"/>
        <v>548628.32</v>
      </c>
      <c r="K24" s="70">
        <f t="shared" si="12"/>
        <v>2235712.35</v>
      </c>
      <c r="L24" s="70">
        <f t="shared" si="12"/>
        <v>3110240.01</v>
      </c>
      <c r="M24" s="70">
        <f t="shared" si="12"/>
        <v>3480137.09</v>
      </c>
      <c r="N24" s="70">
        <f t="shared" si="12"/>
        <v>4803748.11</v>
      </c>
      <c r="O24" s="70">
        <f t="shared" si="12"/>
        <v>0</v>
      </c>
      <c r="P24" s="70">
        <f t="shared" si="12"/>
        <v>202253.93000000002</v>
      </c>
      <c r="Q24" s="70">
        <f t="shared" si="12"/>
        <v>927483.93</v>
      </c>
      <c r="R24" s="70">
        <f t="shared" si="12"/>
        <v>64657.13</v>
      </c>
      <c r="S24" s="70">
        <f t="shared" si="12"/>
        <v>392958.12</v>
      </c>
      <c r="T24" s="70">
        <f t="shared" si="12"/>
        <v>31741378.13</v>
      </c>
      <c r="U24" s="70">
        <f t="shared" si="12"/>
        <v>8195224.54</v>
      </c>
      <c r="V24" s="70">
        <f t="shared" si="12"/>
        <v>4514182.79</v>
      </c>
      <c r="W24" s="70">
        <f t="shared" si="12"/>
        <v>18571250.87</v>
      </c>
      <c r="X24" s="70">
        <f t="shared" si="12"/>
        <v>0</v>
      </c>
      <c r="Y24" s="70">
        <f t="shared" si="12"/>
        <v>0</v>
      </c>
      <c r="Z24" s="70">
        <f t="shared" si="12"/>
        <v>460719.93</v>
      </c>
      <c r="AA24" s="70">
        <f t="shared" si="12"/>
        <v>0</v>
      </c>
      <c r="AB24" s="70">
        <f t="shared" si="12"/>
        <v>0</v>
      </c>
      <c r="AC24" s="70">
        <f t="shared" si="12"/>
        <v>32530</v>
      </c>
      <c r="AD24" s="70">
        <f t="shared" si="12"/>
        <v>0</v>
      </c>
      <c r="AE24" s="70">
        <f>SUM(AE23,AE22)</f>
        <v>199320.1</v>
      </c>
      <c r="AF24" s="70">
        <f>SUM(AF23,AF22)</f>
        <v>17280</v>
      </c>
      <c r="AG24" s="70">
        <f>SUM(AG23,AG22)</f>
        <v>0</v>
      </c>
      <c r="AH24" s="70">
        <f>SUM(AH23,AH22)</f>
        <v>53158981.12</v>
      </c>
      <c r="AI24" s="70">
        <f>SUM(AI23,AI22)</f>
        <v>51365241.09</v>
      </c>
      <c r="AJ24" s="89">
        <f t="shared" si="2"/>
        <v>7781951.469999991</v>
      </c>
    </row>
    <row r="25" spans="1:62" s="15" customFormat="1" ht="12.75">
      <c r="A25" s="10" t="s">
        <v>83</v>
      </c>
      <c r="B25" s="10" t="s">
        <v>26</v>
      </c>
      <c r="C25" s="65">
        <f>SUM(AJ23)</f>
        <v>7781951.470000002</v>
      </c>
      <c r="D25" s="65">
        <f t="shared" si="9"/>
        <v>2130251.21</v>
      </c>
      <c r="E25" s="66">
        <f>SUM('Начисл.2016'!E25)</f>
        <v>431117.44</v>
      </c>
      <c r="F25" s="66">
        <f>SUM('Начисл.2016'!F25)</f>
        <v>10226.3</v>
      </c>
      <c r="G25" s="66">
        <f>SUM('Начисл.2016'!G25)</f>
        <v>66248.44</v>
      </c>
      <c r="H25" s="66">
        <f>SUM('Начисл.2016'!H25)</f>
        <v>14806.13</v>
      </c>
      <c r="I25" s="66">
        <f>SUM('Начисл.2016'!I25)</f>
        <v>38720.08</v>
      </c>
      <c r="J25" s="66">
        <f>SUM('Начисл.2016'!J25)</f>
        <v>56950.4</v>
      </c>
      <c r="K25" s="66">
        <f>SUM('Начисл.2016'!K25)</f>
        <v>232405.94</v>
      </c>
      <c r="L25" s="66">
        <f>SUM('Начисл.2016'!L25)</f>
        <v>327749.08</v>
      </c>
      <c r="M25" s="66">
        <f>SUM('Начисл.2016'!M25)</f>
        <v>368208.23</v>
      </c>
      <c r="N25" s="66">
        <f>SUM('Начисл.2016'!N25)</f>
        <v>466055.28</v>
      </c>
      <c r="O25" s="66">
        <f>SUM('Начисл.2016'!O25)</f>
        <v>0</v>
      </c>
      <c r="P25" s="66">
        <f>SUM('Начисл.2016'!P25)</f>
        <v>20919.91</v>
      </c>
      <c r="Q25" s="66">
        <f>SUM('Начисл.2016'!Q25)</f>
        <v>96843.98</v>
      </c>
      <c r="R25" s="66">
        <f>SUM('Начисл.2016'!R25)</f>
        <v>10459.72</v>
      </c>
      <c r="S25" s="66">
        <f>SUM('Начисл.2016'!S25)</f>
        <v>34848.68</v>
      </c>
      <c r="T25" s="66">
        <f>SUM('Начисл.2016'!T25)</f>
        <v>5979166.64</v>
      </c>
      <c r="U25" s="66">
        <f>SUM('Начисл.2016'!U25)</f>
        <v>941894.46</v>
      </c>
      <c r="V25" s="66">
        <f>SUM('Начисл.2016'!V25)</f>
        <v>478921.62</v>
      </c>
      <c r="W25" s="66">
        <f>SUM('Начисл.2016'!W25)</f>
        <v>4244697.13</v>
      </c>
      <c r="X25" s="66">
        <f>SUM('Начисл.2016'!X25)</f>
        <v>0</v>
      </c>
      <c r="Y25" s="66">
        <f>SUM('Начисл.2016'!Y25)</f>
        <v>0</v>
      </c>
      <c r="Z25" s="66">
        <f>SUM('Начисл.2016'!Z25)</f>
        <v>313653.43</v>
      </c>
      <c r="AA25" s="66">
        <f>SUM('Начисл.2016'!AA25)</f>
        <v>0</v>
      </c>
      <c r="AB25" s="66">
        <f>SUM('Начисл.2016'!AB25)</f>
        <v>0</v>
      </c>
      <c r="AC25" s="66">
        <f>SUM('Начисл.2016'!AC25)</f>
        <v>3420</v>
      </c>
      <c r="AD25" s="66">
        <f>SUM('Начисл.2016'!AD25)</f>
        <v>0</v>
      </c>
      <c r="AE25" s="66">
        <f>SUM('Начисл.2016'!AE25)</f>
        <v>22105</v>
      </c>
      <c r="AF25" s="66">
        <f>SUM('Начисл.2016'!AF25)</f>
        <v>1701</v>
      </c>
      <c r="AG25" s="66">
        <f>SUM('Начисл.2016'!AG25)</f>
        <v>0</v>
      </c>
      <c r="AH25" s="66">
        <f>SUM('Начисл.2016'!AH25)</f>
        <v>8181952.25</v>
      </c>
      <c r="AI25" s="66">
        <f>SUM('Начисл.2016'!AI25)</f>
        <v>6262163.38</v>
      </c>
      <c r="AJ25" s="66">
        <f>SUM(C25+AH25-AI25)</f>
        <v>9701740.340000004</v>
      </c>
      <c r="AL25" s="34"/>
      <c r="AM25" s="25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</row>
    <row r="26" spans="1:36" s="42" customFormat="1" ht="12">
      <c r="A26" s="39"/>
      <c r="B26" s="39" t="s">
        <v>94</v>
      </c>
      <c r="C26" s="70">
        <f>SUM(C22)</f>
        <v>5988211.4399999995</v>
      </c>
      <c r="D26" s="71">
        <f>SUM(E26:Q26)</f>
        <v>22841108.85</v>
      </c>
      <c r="E26" s="70">
        <f>SUM(E25,E24)</f>
        <v>4568361.16</v>
      </c>
      <c r="F26" s="70">
        <f aca="true" t="shared" si="13" ref="F26:AD26">SUM(F25,F24)</f>
        <v>105673.55</v>
      </c>
      <c r="G26" s="70">
        <f t="shared" si="13"/>
        <v>700897.8400000001</v>
      </c>
      <c r="H26" s="70">
        <f t="shared" si="13"/>
        <v>162881.78</v>
      </c>
      <c r="I26" s="70">
        <f t="shared" si="13"/>
        <v>425957.96</v>
      </c>
      <c r="J26" s="70">
        <f t="shared" si="13"/>
        <v>605578.72</v>
      </c>
      <c r="K26" s="70">
        <f t="shared" si="13"/>
        <v>2468118.29</v>
      </c>
      <c r="L26" s="70">
        <f t="shared" si="13"/>
        <v>3437989.09</v>
      </c>
      <c r="M26" s="70">
        <f t="shared" si="13"/>
        <v>3848345.32</v>
      </c>
      <c r="N26" s="70">
        <f t="shared" si="13"/>
        <v>5269803.390000001</v>
      </c>
      <c r="O26" s="70">
        <f t="shared" si="13"/>
        <v>0</v>
      </c>
      <c r="P26" s="70">
        <f t="shared" si="13"/>
        <v>223173.84000000003</v>
      </c>
      <c r="Q26" s="70">
        <f t="shared" si="13"/>
        <v>1024327.91</v>
      </c>
      <c r="R26" s="70">
        <f t="shared" si="13"/>
        <v>75116.84999999999</v>
      </c>
      <c r="S26" s="70">
        <f t="shared" si="13"/>
        <v>427806.8</v>
      </c>
      <c r="T26" s="70">
        <f t="shared" si="13"/>
        <v>37720544.769999996</v>
      </c>
      <c r="U26" s="70">
        <f t="shared" si="13"/>
        <v>9137119</v>
      </c>
      <c r="V26" s="70">
        <f t="shared" si="13"/>
        <v>4993104.41</v>
      </c>
      <c r="W26" s="70">
        <f t="shared" si="13"/>
        <v>22815948</v>
      </c>
      <c r="X26" s="70">
        <f t="shared" si="13"/>
        <v>0</v>
      </c>
      <c r="Y26" s="70">
        <f t="shared" si="13"/>
        <v>0</v>
      </c>
      <c r="Z26" s="70">
        <f t="shared" si="13"/>
        <v>774373.36</v>
      </c>
      <c r="AA26" s="70">
        <f t="shared" si="13"/>
        <v>0</v>
      </c>
      <c r="AB26" s="70">
        <f t="shared" si="13"/>
        <v>0</v>
      </c>
      <c r="AC26" s="70">
        <f t="shared" si="13"/>
        <v>35950</v>
      </c>
      <c r="AD26" s="70">
        <f t="shared" si="13"/>
        <v>0</v>
      </c>
      <c r="AE26" s="70">
        <f>SUM(AE25,AE24)</f>
        <v>221425.1</v>
      </c>
      <c r="AF26" s="70">
        <f>SUM(AF25,AF24)</f>
        <v>18981</v>
      </c>
      <c r="AG26" s="70">
        <f>SUM(AG25,AG24)</f>
        <v>0</v>
      </c>
      <c r="AH26" s="70">
        <f>SUM(AH25,AH24)</f>
        <v>61340933.37</v>
      </c>
      <c r="AI26" s="70">
        <f>SUM(AI25,AI24)</f>
        <v>57627404.470000006</v>
      </c>
      <c r="AJ26" s="89">
        <f>SUM(C26+AH26-AI26)</f>
        <v>9701740.339999996</v>
      </c>
    </row>
    <row r="27" spans="1:62" s="15" customFormat="1" ht="12.75">
      <c r="A27" s="10" t="s">
        <v>84</v>
      </c>
      <c r="B27" s="10" t="s">
        <v>26</v>
      </c>
      <c r="C27" s="65">
        <f>SUM(AJ25)</f>
        <v>9701740.340000004</v>
      </c>
      <c r="D27" s="66">
        <f>SUM('Начисл.2016'!D27)</f>
        <v>2129738.83</v>
      </c>
      <c r="E27" s="66">
        <f>SUM('Начисл.2016'!E27)</f>
        <v>431115.96</v>
      </c>
      <c r="F27" s="66">
        <f>SUM('Начисл.2016'!F27)</f>
        <v>10226.26</v>
      </c>
      <c r="G27" s="66">
        <f>SUM('Начисл.2016'!G27)</f>
        <v>66248.22</v>
      </c>
      <c r="H27" s="66">
        <f>SUM('Начисл.2016'!H27)</f>
        <v>14806.07</v>
      </c>
      <c r="I27" s="66">
        <f>SUM('Начисл.2016'!I27)</f>
        <v>38719.94</v>
      </c>
      <c r="J27" s="66">
        <f>SUM('Начисл.2016'!J27)</f>
        <v>56950.2</v>
      </c>
      <c r="K27" s="66">
        <f>SUM('Начисл.2016'!K27)</f>
        <v>232405.12</v>
      </c>
      <c r="L27" s="66">
        <f>SUM('Начисл.2016'!L27)</f>
        <v>327242.92</v>
      </c>
      <c r="M27" s="66">
        <f>SUM('Начисл.2016'!M27)</f>
        <v>368206.97</v>
      </c>
      <c r="N27" s="66">
        <f>SUM('Начисл.2016'!N27)</f>
        <v>466053.68</v>
      </c>
      <c r="O27" s="66">
        <f>SUM('Начисл.2016'!O27)</f>
        <v>0</v>
      </c>
      <c r="P27" s="66">
        <f>SUM('Начисл.2016'!P27)</f>
        <v>20919.85</v>
      </c>
      <c r="Q27" s="66">
        <f>SUM('Начисл.2016'!Q27)</f>
        <v>96843.64</v>
      </c>
      <c r="R27" s="66">
        <f>SUM('Начисл.2016'!R27)</f>
        <v>6113.47</v>
      </c>
      <c r="S27" s="66">
        <f>SUM('Начисл.2016'!S27)</f>
        <v>38607.04</v>
      </c>
      <c r="T27" s="66">
        <f>SUM('Начисл.2016'!T27)</f>
        <v>7248425.24</v>
      </c>
      <c r="U27" s="66">
        <f>SUM('Начисл.2016'!U27)</f>
        <v>882369.82</v>
      </c>
      <c r="V27" s="66">
        <f>SUM('Начисл.2016'!V27)</f>
        <v>449892.31</v>
      </c>
      <c r="W27" s="66">
        <f>SUM('Начисл.2016'!W27)</f>
        <v>4979320.79</v>
      </c>
      <c r="X27" s="66">
        <f>SUM('Начисл.2016'!X27)</f>
        <v>0</v>
      </c>
      <c r="Y27" s="66">
        <f>SUM('Начисл.2016'!Y27)</f>
        <v>0</v>
      </c>
      <c r="Z27" s="66">
        <f>SUM('Начисл.2016'!Z27)</f>
        <v>936842.32</v>
      </c>
      <c r="AA27" s="66">
        <f>SUM('Начисл.2016'!AA27)</f>
        <v>0</v>
      </c>
      <c r="AB27" s="66">
        <f>SUM('Начисл.2016'!AB27)</f>
        <v>0</v>
      </c>
      <c r="AC27" s="66">
        <f>SUM('Начисл.2016'!AC27)</f>
        <v>3420</v>
      </c>
      <c r="AD27" s="66">
        <f>SUM('Начисл.2016'!AD27)</f>
        <v>0</v>
      </c>
      <c r="AE27" s="66">
        <f>SUM('Начисл.2016'!AE27)</f>
        <v>23545</v>
      </c>
      <c r="AF27" s="66">
        <f>SUM('Начисл.2016'!AF27)</f>
        <v>1701</v>
      </c>
      <c r="AG27" s="66">
        <f>SUM('Начисл.2016'!AG27)</f>
        <v>0</v>
      </c>
      <c r="AH27" s="66">
        <f>SUM('Начисл.2016'!AH27)</f>
        <v>9451550.58</v>
      </c>
      <c r="AI27" s="66">
        <f>SUM('Начисл.2016'!AI27)</f>
        <v>10111355.11</v>
      </c>
      <c r="AJ27" s="66">
        <f>SUM(C27+AH27-AI27)</f>
        <v>9041935.810000002</v>
      </c>
      <c r="AL27" s="34"/>
      <c r="AM27" s="25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1:37" s="42" customFormat="1" ht="12">
      <c r="A28" s="39"/>
      <c r="B28" s="39" t="s">
        <v>95</v>
      </c>
      <c r="C28" s="70">
        <f>SUM(C24)</f>
        <v>5988211.4399999995</v>
      </c>
      <c r="D28" s="71">
        <f>SUM(E28:Q28)</f>
        <v>24970847.680000003</v>
      </c>
      <c r="E28" s="70">
        <f>SUM(E27,E26)</f>
        <v>4999477.12</v>
      </c>
      <c r="F28" s="70">
        <f aca="true" t="shared" si="14" ref="F28:AD28">SUM(F27,F26)</f>
        <v>115899.81</v>
      </c>
      <c r="G28" s="70">
        <f t="shared" si="14"/>
        <v>767146.06</v>
      </c>
      <c r="H28" s="70">
        <f t="shared" si="14"/>
        <v>177687.85</v>
      </c>
      <c r="I28" s="70">
        <f t="shared" si="14"/>
        <v>464677.9</v>
      </c>
      <c r="J28" s="70">
        <f t="shared" si="14"/>
        <v>662528.9199999999</v>
      </c>
      <c r="K28" s="70">
        <f t="shared" si="14"/>
        <v>2700523.41</v>
      </c>
      <c r="L28" s="70">
        <f t="shared" si="14"/>
        <v>3765232.01</v>
      </c>
      <c r="M28" s="70">
        <f t="shared" si="14"/>
        <v>4216552.29</v>
      </c>
      <c r="N28" s="70">
        <f t="shared" si="14"/>
        <v>5735857.07</v>
      </c>
      <c r="O28" s="70">
        <f t="shared" si="14"/>
        <v>0</v>
      </c>
      <c r="P28" s="70">
        <f t="shared" si="14"/>
        <v>244093.69000000003</v>
      </c>
      <c r="Q28" s="70">
        <f t="shared" si="14"/>
        <v>1121171.55</v>
      </c>
      <c r="R28" s="70">
        <f t="shared" si="14"/>
        <v>81230.31999999999</v>
      </c>
      <c r="S28" s="70">
        <f t="shared" si="14"/>
        <v>466413.83999999997</v>
      </c>
      <c r="T28" s="70">
        <f t="shared" si="14"/>
        <v>44968970.01</v>
      </c>
      <c r="U28" s="70">
        <f t="shared" si="14"/>
        <v>10019488.82</v>
      </c>
      <c r="V28" s="70">
        <f t="shared" si="14"/>
        <v>5442996.72</v>
      </c>
      <c r="W28" s="70">
        <f t="shared" si="14"/>
        <v>27795268.79</v>
      </c>
      <c r="X28" s="70">
        <f t="shared" si="14"/>
        <v>0</v>
      </c>
      <c r="Y28" s="70">
        <f t="shared" si="14"/>
        <v>0</v>
      </c>
      <c r="Z28" s="70">
        <f t="shared" si="14"/>
        <v>1711215.68</v>
      </c>
      <c r="AA28" s="70">
        <f t="shared" si="14"/>
        <v>0</v>
      </c>
      <c r="AB28" s="70">
        <f t="shared" si="14"/>
        <v>0</v>
      </c>
      <c r="AC28" s="70">
        <f t="shared" si="14"/>
        <v>39370</v>
      </c>
      <c r="AD28" s="70">
        <f t="shared" si="14"/>
        <v>0</v>
      </c>
      <c r="AE28" s="70">
        <f>SUM(AE27,AE26)</f>
        <v>244970.1</v>
      </c>
      <c r="AF28" s="70">
        <f>SUM(AF27,AF26)</f>
        <v>20682</v>
      </c>
      <c r="AG28" s="70">
        <f>SUM(AG27,AG26)</f>
        <v>0</v>
      </c>
      <c r="AH28" s="70">
        <f>SUM(AH27,AH26)</f>
        <v>70792483.95</v>
      </c>
      <c r="AI28" s="70">
        <f>SUM(AI27,AI26)</f>
        <v>67738759.58000001</v>
      </c>
      <c r="AJ28" s="89">
        <f>SUM(C28+AH28-AI28)</f>
        <v>9041935.809999987</v>
      </c>
      <c r="AK28" s="102">
        <f>SUM(AI28/AH28)</f>
        <v>0.9568637205588547</v>
      </c>
    </row>
  </sheetData>
  <sheetProtection/>
  <mergeCells count="17">
    <mergeCell ref="A3:A4"/>
    <mergeCell ref="B3:B4"/>
    <mergeCell ref="C3:C4"/>
    <mergeCell ref="AC3:AC4"/>
    <mergeCell ref="R3:R4"/>
    <mergeCell ref="D3:D4"/>
    <mergeCell ref="E3:Q3"/>
    <mergeCell ref="T3:T4"/>
    <mergeCell ref="U3:AB3"/>
    <mergeCell ref="S3:S4"/>
    <mergeCell ref="AJ3:AJ4"/>
    <mergeCell ref="AD3:AD4"/>
    <mergeCell ref="AE3:AE4"/>
    <mergeCell ref="AF3:AF4"/>
    <mergeCell ref="AG3:AG4"/>
    <mergeCell ref="AH3:AH4"/>
    <mergeCell ref="AI3:A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J31"/>
  <sheetViews>
    <sheetView zoomScalePageLayoutView="0" workbookViewId="0" topLeftCell="M1">
      <selection activeCell="E27" sqref="E27:AI27"/>
    </sheetView>
  </sheetViews>
  <sheetFormatPr defaultColWidth="9.140625" defaultRowHeight="12.75"/>
  <cols>
    <col min="1" max="1" width="7.8515625" style="9" customWidth="1"/>
    <col min="2" max="2" width="12.8515625" style="9" customWidth="1"/>
    <col min="3" max="3" width="10.8515625" style="9" customWidth="1"/>
    <col min="4" max="4" width="13.140625" style="9" customWidth="1"/>
    <col min="5" max="5" width="11.28125" style="9" bestFit="1" customWidth="1"/>
    <col min="6" max="6" width="10.57421875" style="9" bestFit="1" customWidth="1"/>
    <col min="7" max="7" width="11.57421875" style="9" bestFit="1" customWidth="1"/>
    <col min="8" max="8" width="10.28125" style="9" bestFit="1" customWidth="1"/>
    <col min="9" max="9" width="9.140625" style="9" customWidth="1"/>
    <col min="10" max="10" width="9.8515625" style="9" customWidth="1"/>
    <col min="11" max="11" width="10.8515625" style="9" bestFit="1" customWidth="1"/>
    <col min="12" max="12" width="10.421875" style="9" customWidth="1"/>
    <col min="13" max="13" width="10.421875" style="9" bestFit="1" customWidth="1"/>
    <col min="14" max="14" width="11.140625" style="9" bestFit="1" customWidth="1"/>
    <col min="15" max="15" width="10.421875" style="9" bestFit="1" customWidth="1"/>
    <col min="16" max="16" width="9.421875" style="9" bestFit="1" customWidth="1"/>
    <col min="17" max="17" width="10.140625" style="9" customWidth="1"/>
    <col min="18" max="19" width="10.00390625" style="9" customWidth="1"/>
    <col min="20" max="20" width="18.421875" style="9" customWidth="1"/>
    <col min="21" max="21" width="11.57421875" style="9" customWidth="1"/>
    <col min="22" max="22" width="10.421875" style="9" customWidth="1"/>
    <col min="23" max="23" width="11.140625" style="9" customWidth="1"/>
    <col min="24" max="24" width="9.8515625" style="9" bestFit="1" customWidth="1"/>
    <col min="25" max="25" width="9.28125" style="9" bestFit="1" customWidth="1"/>
    <col min="26" max="26" width="10.7109375" style="9" customWidth="1"/>
    <col min="27" max="27" width="9.28125" style="9" bestFit="1" customWidth="1"/>
    <col min="28" max="28" width="8.140625" style="9" bestFit="1" customWidth="1"/>
    <col min="29" max="29" width="8.7109375" style="9" customWidth="1"/>
    <col min="30" max="30" width="10.28125" style="9" customWidth="1"/>
    <col min="31" max="31" width="9.421875" style="9" customWidth="1"/>
    <col min="32" max="32" width="8.421875" style="9" customWidth="1"/>
    <col min="33" max="33" width="9.140625" style="9" customWidth="1"/>
    <col min="34" max="34" width="11.28125" style="9" customWidth="1"/>
    <col min="35" max="35" width="11.7109375" style="9" customWidth="1"/>
    <col min="36" max="36" width="9.8515625" style="9" customWidth="1"/>
    <col min="37" max="37" width="11.421875" style="9" customWidth="1"/>
    <col min="38" max="40" width="11.57421875" style="9" bestFit="1" customWidth="1"/>
    <col min="41" max="41" width="11.8515625" style="9" customWidth="1"/>
    <col min="42" max="42" width="11.57421875" style="9" bestFit="1" customWidth="1"/>
    <col min="43" max="43" width="9.57421875" style="9" bestFit="1" customWidth="1"/>
    <col min="44" max="16384" width="9.140625" style="9" customWidth="1"/>
  </cols>
  <sheetData>
    <row r="1" spans="1:62" s="14" customFormat="1" ht="12.75">
      <c r="A1" s="19" t="s">
        <v>114</v>
      </c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ht="12.75">
      <c r="E2" s="18"/>
    </row>
    <row r="3" spans="1:62" s="15" customFormat="1" ht="12.75" customHeight="1">
      <c r="A3" s="120" t="s">
        <v>5</v>
      </c>
      <c r="B3" s="116" t="s">
        <v>6</v>
      </c>
      <c r="C3" s="120" t="s">
        <v>36</v>
      </c>
      <c r="D3" s="116" t="s">
        <v>12</v>
      </c>
      <c r="E3" s="124" t="s">
        <v>15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  <c r="R3" s="122" t="s">
        <v>32</v>
      </c>
      <c r="S3" s="116" t="s">
        <v>11</v>
      </c>
      <c r="T3" s="116" t="s">
        <v>17</v>
      </c>
      <c r="U3" s="124" t="s">
        <v>15</v>
      </c>
      <c r="V3" s="125"/>
      <c r="W3" s="125"/>
      <c r="X3" s="125"/>
      <c r="Y3" s="125"/>
      <c r="Z3" s="125"/>
      <c r="AA3" s="125"/>
      <c r="AB3" s="126"/>
      <c r="AC3" s="116" t="s">
        <v>22</v>
      </c>
      <c r="AD3" s="120" t="s">
        <v>87</v>
      </c>
      <c r="AE3" s="116" t="s">
        <v>86</v>
      </c>
      <c r="AF3" s="116" t="s">
        <v>23</v>
      </c>
      <c r="AG3" s="116" t="s">
        <v>0</v>
      </c>
      <c r="AH3" s="116" t="s">
        <v>25</v>
      </c>
      <c r="AI3" s="116" t="s">
        <v>24</v>
      </c>
      <c r="AJ3" s="116" t="s">
        <v>37</v>
      </c>
      <c r="AK3" s="6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62" s="15" customFormat="1" ht="67.5">
      <c r="A4" s="121"/>
      <c r="B4" s="116"/>
      <c r="C4" s="121"/>
      <c r="D4" s="116"/>
      <c r="E4" s="4" t="s">
        <v>13</v>
      </c>
      <c r="F4" s="4" t="s">
        <v>14</v>
      </c>
      <c r="G4" s="4" t="s">
        <v>4</v>
      </c>
      <c r="H4" s="4" t="s">
        <v>7</v>
      </c>
      <c r="I4" s="4" t="s">
        <v>8</v>
      </c>
      <c r="J4" s="80" t="s">
        <v>0</v>
      </c>
      <c r="K4" s="4" t="s">
        <v>2</v>
      </c>
      <c r="L4" s="4" t="s">
        <v>9</v>
      </c>
      <c r="M4" s="4" t="s">
        <v>28</v>
      </c>
      <c r="N4" s="4" t="s">
        <v>10</v>
      </c>
      <c r="O4" s="4" t="s">
        <v>96</v>
      </c>
      <c r="P4" s="5" t="s">
        <v>1</v>
      </c>
      <c r="Q4" s="4" t="s">
        <v>30</v>
      </c>
      <c r="R4" s="123"/>
      <c r="S4" s="116"/>
      <c r="T4" s="116"/>
      <c r="U4" s="4" t="s">
        <v>18</v>
      </c>
      <c r="V4" s="4" t="s">
        <v>19</v>
      </c>
      <c r="W4" s="4" t="s">
        <v>20</v>
      </c>
      <c r="X4" s="4" t="s">
        <v>21</v>
      </c>
      <c r="Y4" s="4" t="s">
        <v>29</v>
      </c>
      <c r="Z4" s="4" t="s">
        <v>38</v>
      </c>
      <c r="AA4" s="4" t="s">
        <v>39</v>
      </c>
      <c r="AB4" s="4" t="s">
        <v>31</v>
      </c>
      <c r="AC4" s="116"/>
      <c r="AD4" s="121"/>
      <c r="AE4" s="116"/>
      <c r="AF4" s="116"/>
      <c r="AG4" s="116"/>
      <c r="AH4" s="116"/>
      <c r="AI4" s="116"/>
      <c r="AJ4" s="116"/>
      <c r="AK4" s="6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1:62" s="15" customFormat="1" ht="12.75">
      <c r="A5" s="10" t="s">
        <v>16</v>
      </c>
      <c r="B5" s="10" t="s">
        <v>26</v>
      </c>
      <c r="C5" s="13">
        <f>SUM('Начисл.2015'!AJ27)</f>
        <v>5988211.4399999995</v>
      </c>
      <c r="D5" s="13">
        <f>SUM(E5:Q5)</f>
        <v>2007991.4899999998</v>
      </c>
      <c r="E5" s="11">
        <v>402115.52</v>
      </c>
      <c r="F5" s="11">
        <v>9090.01</v>
      </c>
      <c r="G5" s="11">
        <v>61607.21</v>
      </c>
      <c r="H5" s="11">
        <v>14808.06</v>
      </c>
      <c r="I5" s="11">
        <v>38725.05</v>
      </c>
      <c r="J5" s="80">
        <v>53469.35</v>
      </c>
      <c r="K5" s="11">
        <v>217678.3</v>
      </c>
      <c r="L5" s="11">
        <v>300068.5</v>
      </c>
      <c r="M5" s="11">
        <v>334539.17</v>
      </c>
      <c r="N5" s="11">
        <v>466113.69</v>
      </c>
      <c r="O5" s="11"/>
      <c r="P5" s="11">
        <v>19761.72</v>
      </c>
      <c r="Q5" s="11">
        <v>90014.91</v>
      </c>
      <c r="R5" s="11">
        <v>4234.32</v>
      </c>
      <c r="S5" s="11">
        <v>37826.76</v>
      </c>
      <c r="T5" s="11">
        <v>6857732.58</v>
      </c>
      <c r="U5" s="11">
        <v>787243.74</v>
      </c>
      <c r="V5" s="11">
        <v>446209.49</v>
      </c>
      <c r="W5" s="11">
        <v>5624279.35</v>
      </c>
      <c r="X5" s="11"/>
      <c r="Y5" s="11"/>
      <c r="Z5" s="11"/>
      <c r="AA5" s="11"/>
      <c r="AB5" s="11"/>
      <c r="AC5" s="11">
        <v>3280</v>
      </c>
      <c r="AD5" s="11"/>
      <c r="AE5" s="11">
        <v>18475.02</v>
      </c>
      <c r="AF5" s="11">
        <v>1782</v>
      </c>
      <c r="AG5" s="11"/>
      <c r="AH5" s="11">
        <v>8931322.17</v>
      </c>
      <c r="AI5" s="11">
        <v>3642133.45</v>
      </c>
      <c r="AJ5" s="11">
        <f>SUM(C5+AH5-AI5)</f>
        <v>11277400.16</v>
      </c>
      <c r="AL5" s="34"/>
      <c r="AM5" s="25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62" s="17" customFormat="1" ht="12.75">
      <c r="A6" s="16"/>
      <c r="B6" s="7" t="s">
        <v>27</v>
      </c>
      <c r="C6" s="37">
        <f aca="true" t="shared" si="0" ref="C6:AJ6">SUM(C5:C5)</f>
        <v>5988211.4399999995</v>
      </c>
      <c r="D6" s="8">
        <f t="shared" si="0"/>
        <v>2007991.4899999998</v>
      </c>
      <c r="E6" s="12">
        <f t="shared" si="0"/>
        <v>402115.52</v>
      </c>
      <c r="F6" s="12">
        <f t="shared" si="0"/>
        <v>9090.01</v>
      </c>
      <c r="G6" s="12">
        <f t="shared" si="0"/>
        <v>61607.21</v>
      </c>
      <c r="H6" s="12">
        <f t="shared" si="0"/>
        <v>14808.06</v>
      </c>
      <c r="I6" s="12">
        <f t="shared" si="0"/>
        <v>38725.05</v>
      </c>
      <c r="J6" s="12">
        <f t="shared" si="0"/>
        <v>53469.35</v>
      </c>
      <c r="K6" s="12">
        <f t="shared" si="0"/>
        <v>217678.3</v>
      </c>
      <c r="L6" s="12">
        <f t="shared" si="0"/>
        <v>300068.5</v>
      </c>
      <c r="M6" s="12">
        <f t="shared" si="0"/>
        <v>334539.17</v>
      </c>
      <c r="N6" s="12">
        <f t="shared" si="0"/>
        <v>466113.69</v>
      </c>
      <c r="O6" s="12">
        <f t="shared" si="0"/>
        <v>0</v>
      </c>
      <c r="P6" s="12">
        <f t="shared" si="0"/>
        <v>19761.72</v>
      </c>
      <c r="Q6" s="12">
        <f t="shared" si="0"/>
        <v>90014.91</v>
      </c>
      <c r="R6" s="12">
        <f t="shared" si="0"/>
        <v>4234.32</v>
      </c>
      <c r="S6" s="12">
        <f t="shared" si="0"/>
        <v>37826.76</v>
      </c>
      <c r="T6" s="12">
        <f t="shared" si="0"/>
        <v>6857732.58</v>
      </c>
      <c r="U6" s="12">
        <f t="shared" si="0"/>
        <v>787243.74</v>
      </c>
      <c r="V6" s="12">
        <f t="shared" si="0"/>
        <v>446209.49</v>
      </c>
      <c r="W6" s="12">
        <f t="shared" si="0"/>
        <v>5624279.35</v>
      </c>
      <c r="X6" s="12">
        <f t="shared" si="0"/>
        <v>0</v>
      </c>
      <c r="Y6" s="12">
        <f t="shared" si="0"/>
        <v>0</v>
      </c>
      <c r="Z6" s="12">
        <f t="shared" si="0"/>
        <v>0</v>
      </c>
      <c r="AA6" s="12">
        <f t="shared" si="0"/>
        <v>0</v>
      </c>
      <c r="AB6" s="12">
        <f t="shared" si="0"/>
        <v>0</v>
      </c>
      <c r="AC6" s="12">
        <f t="shared" si="0"/>
        <v>3280</v>
      </c>
      <c r="AD6" s="12"/>
      <c r="AE6" s="12">
        <f t="shared" si="0"/>
        <v>18475.02</v>
      </c>
      <c r="AF6" s="12">
        <f t="shared" si="0"/>
        <v>1782</v>
      </c>
      <c r="AG6" s="12">
        <f t="shared" si="0"/>
        <v>0</v>
      </c>
      <c r="AH6" s="12">
        <f t="shared" si="0"/>
        <v>8931322.17</v>
      </c>
      <c r="AI6" s="12">
        <f>SUM(AI5:AI5)</f>
        <v>3642133.45</v>
      </c>
      <c r="AJ6" s="12">
        <f t="shared" si="0"/>
        <v>11277400.16</v>
      </c>
      <c r="AL6" s="35"/>
      <c r="AM6" s="24"/>
      <c r="AN6" s="9"/>
      <c r="AO6" s="18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1:62" s="15" customFormat="1" ht="12.75">
      <c r="A7" s="10" t="s">
        <v>65</v>
      </c>
      <c r="B7" s="10" t="s">
        <v>26</v>
      </c>
      <c r="C7" s="13">
        <f>SUM(AJ5)</f>
        <v>11277400.16</v>
      </c>
      <c r="D7" s="13">
        <f aca="true" t="shared" si="1" ref="D7:D13">SUM(E7:Q7)</f>
        <v>2007731.6499999997</v>
      </c>
      <c r="E7" s="11">
        <v>402115.52</v>
      </c>
      <c r="F7" s="11">
        <v>9090.01</v>
      </c>
      <c r="G7" s="11">
        <v>61607.21</v>
      </c>
      <c r="H7" s="11">
        <v>14808.06</v>
      </c>
      <c r="I7" s="11">
        <v>38725.05</v>
      </c>
      <c r="J7" s="80">
        <v>53469.35</v>
      </c>
      <c r="K7" s="11">
        <v>217678.3</v>
      </c>
      <c r="L7" s="11">
        <v>299808.66</v>
      </c>
      <c r="M7" s="11">
        <v>334539.17</v>
      </c>
      <c r="N7" s="11">
        <v>466113.69</v>
      </c>
      <c r="O7" s="11"/>
      <c r="P7" s="11">
        <v>19761.72</v>
      </c>
      <c r="Q7" s="11">
        <v>90014.91</v>
      </c>
      <c r="R7" s="11">
        <v>9878.57</v>
      </c>
      <c r="S7" s="11">
        <v>39376.34</v>
      </c>
      <c r="T7" s="11">
        <v>5420251.79</v>
      </c>
      <c r="U7" s="11">
        <v>766430.42</v>
      </c>
      <c r="V7" s="11">
        <v>425545.52</v>
      </c>
      <c r="W7" s="11">
        <v>4228275.85</v>
      </c>
      <c r="X7" s="11"/>
      <c r="Y7" s="11"/>
      <c r="Z7" s="11"/>
      <c r="AA7" s="11"/>
      <c r="AB7" s="11"/>
      <c r="AC7" s="11">
        <v>3280</v>
      </c>
      <c r="AD7" s="11"/>
      <c r="AE7" s="11">
        <v>18475.02</v>
      </c>
      <c r="AF7" s="11">
        <v>1755</v>
      </c>
      <c r="AG7" s="11"/>
      <c r="AH7" s="11">
        <v>7500748.37</v>
      </c>
      <c r="AI7" s="11">
        <v>8076015.59</v>
      </c>
      <c r="AJ7" s="11">
        <f aca="true" t="shared" si="2" ref="AJ7:AJ12">SUM(C7+AH7-AI7)</f>
        <v>10702132.940000001</v>
      </c>
      <c r="AL7" s="34"/>
      <c r="AM7" s="25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36" s="42" customFormat="1" ht="12">
      <c r="A8" s="39"/>
      <c r="B8" s="39" t="s">
        <v>66</v>
      </c>
      <c r="C8" s="40">
        <f>SUM(C5)</f>
        <v>5988211.4399999995</v>
      </c>
      <c r="D8" s="41">
        <f t="shared" si="1"/>
        <v>4015723.1399999997</v>
      </c>
      <c r="E8" s="40">
        <f>SUM(E7,E6)</f>
        <v>804231.04</v>
      </c>
      <c r="F8" s="40">
        <f aca="true" t="shared" si="3" ref="F8:AI8">SUM(F7,F6)</f>
        <v>18180.02</v>
      </c>
      <c r="G8" s="40">
        <f t="shared" si="3"/>
        <v>123214.42</v>
      </c>
      <c r="H8" s="40">
        <f t="shared" si="3"/>
        <v>29616.12</v>
      </c>
      <c r="I8" s="40">
        <f t="shared" si="3"/>
        <v>77450.1</v>
      </c>
      <c r="J8" s="40">
        <f t="shared" si="3"/>
        <v>106938.7</v>
      </c>
      <c r="K8" s="40">
        <f t="shared" si="3"/>
        <v>435356.6</v>
      </c>
      <c r="L8" s="40">
        <f t="shared" si="3"/>
        <v>599877.1599999999</v>
      </c>
      <c r="M8" s="40">
        <f t="shared" si="3"/>
        <v>669078.34</v>
      </c>
      <c r="N8" s="40">
        <f t="shared" si="3"/>
        <v>932227.38</v>
      </c>
      <c r="O8" s="40">
        <f t="shared" si="3"/>
        <v>0</v>
      </c>
      <c r="P8" s="40">
        <f t="shared" si="3"/>
        <v>39523.44</v>
      </c>
      <c r="Q8" s="40">
        <f t="shared" si="3"/>
        <v>180029.82</v>
      </c>
      <c r="R8" s="40">
        <f t="shared" si="3"/>
        <v>14112.89</v>
      </c>
      <c r="S8" s="40">
        <f t="shared" si="3"/>
        <v>77203.1</v>
      </c>
      <c r="T8" s="40">
        <f t="shared" si="3"/>
        <v>12277984.370000001</v>
      </c>
      <c r="U8" s="40">
        <f t="shared" si="3"/>
        <v>1553674.1600000001</v>
      </c>
      <c r="V8" s="40">
        <f t="shared" si="3"/>
        <v>871755.01</v>
      </c>
      <c r="W8" s="40">
        <f t="shared" si="3"/>
        <v>9852555.2</v>
      </c>
      <c r="X8" s="40">
        <f t="shared" si="3"/>
        <v>0</v>
      </c>
      <c r="Y8" s="40">
        <f t="shared" si="3"/>
        <v>0</v>
      </c>
      <c r="Z8" s="40">
        <f t="shared" si="3"/>
        <v>0</v>
      </c>
      <c r="AA8" s="40">
        <f t="shared" si="3"/>
        <v>0</v>
      </c>
      <c r="AB8" s="40">
        <f t="shared" si="3"/>
        <v>0</v>
      </c>
      <c r="AC8" s="40">
        <f t="shared" si="3"/>
        <v>6560</v>
      </c>
      <c r="AD8" s="40"/>
      <c r="AE8" s="40">
        <f t="shared" si="3"/>
        <v>36950.04</v>
      </c>
      <c r="AF8" s="40">
        <f t="shared" si="3"/>
        <v>3537</v>
      </c>
      <c r="AG8" s="40">
        <f t="shared" si="3"/>
        <v>0</v>
      </c>
      <c r="AH8" s="40">
        <f t="shared" si="3"/>
        <v>16432070.54</v>
      </c>
      <c r="AI8" s="40">
        <f t="shared" si="3"/>
        <v>11718149.04</v>
      </c>
      <c r="AJ8" s="43">
        <f t="shared" si="2"/>
        <v>10702132.939999998</v>
      </c>
    </row>
    <row r="9" spans="1:62" s="15" customFormat="1" ht="12.75">
      <c r="A9" s="10" t="s">
        <v>67</v>
      </c>
      <c r="B9" s="10" t="s">
        <v>26</v>
      </c>
      <c r="C9" s="13">
        <f>SUM(AJ7)</f>
        <v>10702132.940000001</v>
      </c>
      <c r="D9" s="13">
        <f t="shared" si="1"/>
        <v>2007822.37</v>
      </c>
      <c r="E9" s="11">
        <v>402113.68</v>
      </c>
      <c r="F9" s="11">
        <v>9089.97</v>
      </c>
      <c r="G9" s="11">
        <v>61606.93</v>
      </c>
      <c r="H9" s="11">
        <v>14807.99</v>
      </c>
      <c r="I9" s="11">
        <v>38724.87</v>
      </c>
      <c r="J9" s="80">
        <v>53469.1</v>
      </c>
      <c r="K9" s="11">
        <v>217677.28</v>
      </c>
      <c r="L9" s="11">
        <v>299907.21</v>
      </c>
      <c r="M9" s="11">
        <v>334537.65</v>
      </c>
      <c r="N9" s="11">
        <v>466111.57</v>
      </c>
      <c r="O9" s="11"/>
      <c r="P9" s="11">
        <v>19761.63</v>
      </c>
      <c r="Q9" s="11">
        <v>90014.49</v>
      </c>
      <c r="R9" s="11">
        <v>6198.78</v>
      </c>
      <c r="S9" s="11">
        <v>38783.81</v>
      </c>
      <c r="T9" s="11">
        <v>4611392.8</v>
      </c>
      <c r="U9" s="11">
        <v>714118.23</v>
      </c>
      <c r="V9" s="11">
        <v>420449.23</v>
      </c>
      <c r="W9" s="11">
        <v>3419829.22</v>
      </c>
      <c r="X9" s="11"/>
      <c r="Y9" s="11"/>
      <c r="Z9" s="11">
        <v>56996.12</v>
      </c>
      <c r="AA9" s="11"/>
      <c r="AB9" s="11"/>
      <c r="AC9" s="11">
        <v>3280</v>
      </c>
      <c r="AD9" s="11"/>
      <c r="AE9" s="11">
        <v>18475.02</v>
      </c>
      <c r="AF9" s="11">
        <v>1755</v>
      </c>
      <c r="AG9" s="11"/>
      <c r="AH9" s="11">
        <v>6687707.78</v>
      </c>
      <c r="AI9" s="11">
        <v>8968331.96</v>
      </c>
      <c r="AJ9" s="11">
        <f t="shared" si="2"/>
        <v>8421508.760000002</v>
      </c>
      <c r="AL9" s="34"/>
      <c r="AM9" s="25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1:38" s="42" customFormat="1" ht="12">
      <c r="A10" s="39"/>
      <c r="B10" s="39" t="s">
        <v>68</v>
      </c>
      <c r="C10" s="40">
        <f>SUM(C6)</f>
        <v>5988211.4399999995</v>
      </c>
      <c r="D10" s="41">
        <f t="shared" si="1"/>
        <v>6023545.510000001</v>
      </c>
      <c r="E10" s="40">
        <f>SUM(E9,E8)</f>
        <v>1206344.72</v>
      </c>
      <c r="F10" s="40">
        <f aca="true" t="shared" si="4" ref="F10:AI10">SUM(F9,F8)</f>
        <v>27269.989999999998</v>
      </c>
      <c r="G10" s="40">
        <f t="shared" si="4"/>
        <v>184821.35</v>
      </c>
      <c r="H10" s="40">
        <f t="shared" si="4"/>
        <v>44424.11</v>
      </c>
      <c r="I10" s="40">
        <f t="shared" si="4"/>
        <v>116174.97</v>
      </c>
      <c r="J10" s="40">
        <f t="shared" si="4"/>
        <v>160407.8</v>
      </c>
      <c r="K10" s="40">
        <f t="shared" si="4"/>
        <v>653033.88</v>
      </c>
      <c r="L10" s="40">
        <f t="shared" si="4"/>
        <v>899784.3699999999</v>
      </c>
      <c r="M10" s="40">
        <f t="shared" si="4"/>
        <v>1003615.99</v>
      </c>
      <c r="N10" s="40">
        <f t="shared" si="4"/>
        <v>1398338.95</v>
      </c>
      <c r="O10" s="40">
        <f t="shared" si="4"/>
        <v>0</v>
      </c>
      <c r="P10" s="40">
        <f t="shared" si="4"/>
        <v>59285.07000000001</v>
      </c>
      <c r="Q10" s="40">
        <f t="shared" si="4"/>
        <v>270044.31</v>
      </c>
      <c r="R10" s="40">
        <f t="shared" si="4"/>
        <v>20311.67</v>
      </c>
      <c r="S10" s="40">
        <f t="shared" si="4"/>
        <v>115986.91</v>
      </c>
      <c r="T10" s="40">
        <f t="shared" si="4"/>
        <v>16889377.17</v>
      </c>
      <c r="U10" s="40">
        <f t="shared" si="4"/>
        <v>2267792.39</v>
      </c>
      <c r="V10" s="40">
        <f t="shared" si="4"/>
        <v>1292204.24</v>
      </c>
      <c r="W10" s="40">
        <f t="shared" si="4"/>
        <v>13272384.42</v>
      </c>
      <c r="X10" s="40">
        <f t="shared" si="4"/>
        <v>0</v>
      </c>
      <c r="Y10" s="40">
        <f t="shared" si="4"/>
        <v>0</v>
      </c>
      <c r="Z10" s="40">
        <f t="shared" si="4"/>
        <v>56996.12</v>
      </c>
      <c r="AA10" s="40">
        <f t="shared" si="4"/>
        <v>0</v>
      </c>
      <c r="AB10" s="40">
        <f t="shared" si="4"/>
        <v>0</v>
      </c>
      <c r="AC10" s="40">
        <f t="shared" si="4"/>
        <v>9840</v>
      </c>
      <c r="AD10" s="40"/>
      <c r="AE10" s="40">
        <f t="shared" si="4"/>
        <v>55425.06</v>
      </c>
      <c r="AF10" s="40">
        <f t="shared" si="4"/>
        <v>5292</v>
      </c>
      <c r="AG10" s="40">
        <f t="shared" si="4"/>
        <v>0</v>
      </c>
      <c r="AH10" s="40">
        <f t="shared" si="4"/>
        <v>23119778.32</v>
      </c>
      <c r="AI10" s="40">
        <f t="shared" si="4"/>
        <v>20686481</v>
      </c>
      <c r="AJ10" s="43">
        <f t="shared" si="2"/>
        <v>8421508.759999998</v>
      </c>
      <c r="AL10" s="81">
        <f>SUM(AJ10)-'22-ЖКХ'!AA10</f>
        <v>8421508.759999998</v>
      </c>
    </row>
    <row r="11" spans="1:62" s="15" customFormat="1" ht="12.75">
      <c r="A11" s="10" t="s">
        <v>69</v>
      </c>
      <c r="B11" s="10" t="s">
        <v>26</v>
      </c>
      <c r="C11" s="13">
        <f>SUM(AJ9)</f>
        <v>8421508.760000002</v>
      </c>
      <c r="D11" s="13">
        <f t="shared" si="1"/>
        <v>2007870.09</v>
      </c>
      <c r="E11" s="11">
        <v>402105.37</v>
      </c>
      <c r="F11" s="11">
        <v>9089.78</v>
      </c>
      <c r="G11" s="11">
        <v>61605.65</v>
      </c>
      <c r="H11" s="11">
        <v>14807.67</v>
      </c>
      <c r="I11" s="11">
        <v>38724.06</v>
      </c>
      <c r="J11" s="80">
        <v>53467.99</v>
      </c>
      <c r="K11" s="11">
        <v>217672.67</v>
      </c>
      <c r="L11" s="11">
        <v>299990.37</v>
      </c>
      <c r="M11" s="11">
        <v>334530.78</v>
      </c>
      <c r="N11" s="11">
        <v>466101.94</v>
      </c>
      <c r="O11" s="11"/>
      <c r="P11" s="11">
        <v>19761.22</v>
      </c>
      <c r="Q11" s="11">
        <v>90012.59</v>
      </c>
      <c r="R11" s="11">
        <v>4301.32</v>
      </c>
      <c r="S11" s="11">
        <v>37880.7</v>
      </c>
      <c r="T11" s="11">
        <v>3861675.72</v>
      </c>
      <c r="U11" s="11">
        <v>795324.24</v>
      </c>
      <c r="V11" s="11">
        <v>458210.88</v>
      </c>
      <c r="W11" s="11">
        <v>2544669.98</v>
      </c>
      <c r="X11" s="11"/>
      <c r="Y11" s="11"/>
      <c r="Z11" s="11">
        <v>63470.62</v>
      </c>
      <c r="AA11" s="11"/>
      <c r="AB11" s="11"/>
      <c r="AC11" s="11">
        <v>3200</v>
      </c>
      <c r="AD11" s="11"/>
      <c r="AE11" s="11">
        <v>18475.02</v>
      </c>
      <c r="AF11" s="11">
        <v>1728</v>
      </c>
      <c r="AG11" s="11"/>
      <c r="AH11" s="11">
        <v>5935130.85</v>
      </c>
      <c r="AI11" s="11">
        <v>5673526.44</v>
      </c>
      <c r="AJ11" s="11">
        <f t="shared" si="2"/>
        <v>8683113.170000002</v>
      </c>
      <c r="AL11" s="34"/>
      <c r="AM11" s="25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36" s="42" customFormat="1" ht="12">
      <c r="A12" s="39"/>
      <c r="B12" s="39" t="s">
        <v>70</v>
      </c>
      <c r="C12" s="40">
        <f>SUM(C8)</f>
        <v>5988211.4399999995</v>
      </c>
      <c r="D12" s="41">
        <f t="shared" si="1"/>
        <v>8031415.6</v>
      </c>
      <c r="E12" s="40">
        <f>SUM(E11,E10)</f>
        <v>1608450.0899999999</v>
      </c>
      <c r="F12" s="40">
        <f aca="true" t="shared" si="5" ref="F12:AI12">SUM(F11,F10)</f>
        <v>36359.77</v>
      </c>
      <c r="G12" s="40">
        <f t="shared" si="5"/>
        <v>246427</v>
      </c>
      <c r="H12" s="40">
        <f t="shared" si="5"/>
        <v>59231.78</v>
      </c>
      <c r="I12" s="40">
        <f t="shared" si="5"/>
        <v>154899.03</v>
      </c>
      <c r="J12" s="40">
        <f t="shared" si="5"/>
        <v>213875.78999999998</v>
      </c>
      <c r="K12" s="40">
        <f t="shared" si="5"/>
        <v>870706.55</v>
      </c>
      <c r="L12" s="40">
        <f t="shared" si="5"/>
        <v>1199774.7399999998</v>
      </c>
      <c r="M12" s="40">
        <f t="shared" si="5"/>
        <v>1338146.77</v>
      </c>
      <c r="N12" s="40">
        <f t="shared" si="5"/>
        <v>1864440.89</v>
      </c>
      <c r="O12" s="40">
        <f t="shared" si="5"/>
        <v>0</v>
      </c>
      <c r="P12" s="40">
        <f t="shared" si="5"/>
        <v>79046.29000000001</v>
      </c>
      <c r="Q12" s="40">
        <f t="shared" si="5"/>
        <v>360056.9</v>
      </c>
      <c r="R12" s="40">
        <f t="shared" si="5"/>
        <v>24612.989999999998</v>
      </c>
      <c r="S12" s="40">
        <f t="shared" si="5"/>
        <v>153867.61</v>
      </c>
      <c r="T12" s="40">
        <f t="shared" si="5"/>
        <v>20751052.89</v>
      </c>
      <c r="U12" s="40">
        <f t="shared" si="5"/>
        <v>3063116.63</v>
      </c>
      <c r="V12" s="40">
        <f t="shared" si="5"/>
        <v>1750415.12</v>
      </c>
      <c r="W12" s="40">
        <f t="shared" si="5"/>
        <v>15817054.4</v>
      </c>
      <c r="X12" s="40">
        <f t="shared" si="5"/>
        <v>0</v>
      </c>
      <c r="Y12" s="40">
        <f t="shared" si="5"/>
        <v>0</v>
      </c>
      <c r="Z12" s="40">
        <f t="shared" si="5"/>
        <v>120466.74</v>
      </c>
      <c r="AA12" s="40">
        <f t="shared" si="5"/>
        <v>0</v>
      </c>
      <c r="AB12" s="40">
        <f t="shared" si="5"/>
        <v>0</v>
      </c>
      <c r="AC12" s="40">
        <f t="shared" si="5"/>
        <v>13040</v>
      </c>
      <c r="AD12" s="40"/>
      <c r="AE12" s="40">
        <f t="shared" si="5"/>
        <v>73900.08</v>
      </c>
      <c r="AF12" s="40">
        <f t="shared" si="5"/>
        <v>7020</v>
      </c>
      <c r="AG12" s="40">
        <f t="shared" si="5"/>
        <v>0</v>
      </c>
      <c r="AH12" s="40">
        <f t="shared" si="5"/>
        <v>29054909.17</v>
      </c>
      <c r="AI12" s="40">
        <f t="shared" si="5"/>
        <v>26360007.44</v>
      </c>
      <c r="AJ12" s="43">
        <f t="shared" si="2"/>
        <v>8683113.169999998</v>
      </c>
    </row>
    <row r="13" spans="1:62" s="15" customFormat="1" ht="12.75">
      <c r="A13" s="10" t="s">
        <v>71</v>
      </c>
      <c r="B13" s="10" t="s">
        <v>26</v>
      </c>
      <c r="C13" s="13">
        <f>SUM(AJ11)</f>
        <v>8683113.170000002</v>
      </c>
      <c r="D13" s="13">
        <f t="shared" si="1"/>
        <v>2007887.1400000001</v>
      </c>
      <c r="E13" s="11">
        <v>402113.17</v>
      </c>
      <c r="F13" s="11">
        <v>9089.96</v>
      </c>
      <c r="G13" s="11">
        <v>61606.85</v>
      </c>
      <c r="H13" s="11">
        <v>14807.97</v>
      </c>
      <c r="I13" s="11">
        <v>38724.81</v>
      </c>
      <c r="J13" s="80">
        <v>53469.04</v>
      </c>
      <c r="K13" s="11">
        <v>217676.99</v>
      </c>
      <c r="L13" s="11">
        <v>299974.17</v>
      </c>
      <c r="M13" s="11">
        <v>334537.23</v>
      </c>
      <c r="N13" s="11">
        <v>466110.96</v>
      </c>
      <c r="O13" s="11"/>
      <c r="P13" s="11">
        <v>19761.61</v>
      </c>
      <c r="Q13" s="11">
        <v>90014.38</v>
      </c>
      <c r="R13" s="11">
        <v>6755.91</v>
      </c>
      <c r="S13" s="11">
        <v>38043.75</v>
      </c>
      <c r="T13" s="11">
        <v>1373257.69</v>
      </c>
      <c r="U13" s="11">
        <v>734500</v>
      </c>
      <c r="V13" s="11">
        <v>432370.54</v>
      </c>
      <c r="W13" s="11">
        <v>155473.21</v>
      </c>
      <c r="X13" s="11"/>
      <c r="Y13" s="11"/>
      <c r="Z13" s="11">
        <v>50913.94</v>
      </c>
      <c r="AA13" s="11"/>
      <c r="AB13" s="11"/>
      <c r="AC13" s="11">
        <v>3200</v>
      </c>
      <c r="AD13" s="11"/>
      <c r="AE13" s="11">
        <v>18475.02</v>
      </c>
      <c r="AF13" s="11">
        <v>1728</v>
      </c>
      <c r="AG13" s="11"/>
      <c r="AH13" s="11">
        <v>3449347.51</v>
      </c>
      <c r="AI13" s="11">
        <v>5128043.09</v>
      </c>
      <c r="AJ13" s="11">
        <f aca="true" t="shared" si="6" ref="AJ13:AJ18">SUM(C13+AH13-AI13)</f>
        <v>7004417.590000002</v>
      </c>
      <c r="AL13" s="34"/>
      <c r="AM13" s="25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1:36" s="42" customFormat="1" ht="12">
      <c r="A14" s="39"/>
      <c r="B14" s="39" t="s">
        <v>72</v>
      </c>
      <c r="C14" s="40">
        <f>SUM(C10)</f>
        <v>5988211.4399999995</v>
      </c>
      <c r="D14" s="41">
        <f>SUM(E14:Q14)</f>
        <v>10039302.739999998</v>
      </c>
      <c r="E14" s="40">
        <f>SUM(E13,E12)</f>
        <v>2010563.2599999998</v>
      </c>
      <c r="F14" s="40">
        <f aca="true" t="shared" si="7" ref="F14:AI14">SUM(F13,F12)</f>
        <v>45449.729999999996</v>
      </c>
      <c r="G14" s="40">
        <f t="shared" si="7"/>
        <v>308033.85</v>
      </c>
      <c r="H14" s="40">
        <f t="shared" si="7"/>
        <v>74039.75</v>
      </c>
      <c r="I14" s="40">
        <f t="shared" si="7"/>
        <v>193623.84</v>
      </c>
      <c r="J14" s="40">
        <f t="shared" si="7"/>
        <v>267344.82999999996</v>
      </c>
      <c r="K14" s="40">
        <f t="shared" si="7"/>
        <v>1088383.54</v>
      </c>
      <c r="L14" s="40">
        <f t="shared" si="7"/>
        <v>1499748.9099999997</v>
      </c>
      <c r="M14" s="40">
        <f t="shared" si="7"/>
        <v>1672684</v>
      </c>
      <c r="N14" s="40">
        <f t="shared" si="7"/>
        <v>2330551.85</v>
      </c>
      <c r="O14" s="40">
        <f t="shared" si="7"/>
        <v>0</v>
      </c>
      <c r="P14" s="40">
        <f t="shared" si="7"/>
        <v>98807.90000000001</v>
      </c>
      <c r="Q14" s="40">
        <f t="shared" si="7"/>
        <v>450071.28</v>
      </c>
      <c r="R14" s="40">
        <f t="shared" si="7"/>
        <v>31368.899999999998</v>
      </c>
      <c r="S14" s="40">
        <f t="shared" si="7"/>
        <v>191911.36</v>
      </c>
      <c r="T14" s="40">
        <f t="shared" si="7"/>
        <v>22124310.580000002</v>
      </c>
      <c r="U14" s="40">
        <f t="shared" si="7"/>
        <v>3797616.63</v>
      </c>
      <c r="V14" s="40">
        <f t="shared" si="7"/>
        <v>2182785.66</v>
      </c>
      <c r="W14" s="40">
        <f t="shared" si="7"/>
        <v>15972527.610000001</v>
      </c>
      <c r="X14" s="40">
        <f t="shared" si="7"/>
        <v>0</v>
      </c>
      <c r="Y14" s="40">
        <f t="shared" si="7"/>
        <v>0</v>
      </c>
      <c r="Z14" s="40">
        <f t="shared" si="7"/>
        <v>171380.68</v>
      </c>
      <c r="AA14" s="40">
        <f t="shared" si="7"/>
        <v>0</v>
      </c>
      <c r="AB14" s="40">
        <f t="shared" si="7"/>
        <v>0</v>
      </c>
      <c r="AC14" s="40">
        <f t="shared" si="7"/>
        <v>16240</v>
      </c>
      <c r="AD14" s="40"/>
      <c r="AE14" s="40">
        <f t="shared" si="7"/>
        <v>92375.1</v>
      </c>
      <c r="AF14" s="40">
        <f t="shared" si="7"/>
        <v>8748</v>
      </c>
      <c r="AG14" s="40">
        <f t="shared" si="7"/>
        <v>0</v>
      </c>
      <c r="AH14" s="40">
        <f t="shared" si="7"/>
        <v>32504256.68</v>
      </c>
      <c r="AI14" s="40">
        <f t="shared" si="7"/>
        <v>31488050.53</v>
      </c>
      <c r="AJ14" s="43">
        <f t="shared" si="6"/>
        <v>7004417.589999996</v>
      </c>
    </row>
    <row r="15" spans="1:62" s="15" customFormat="1" ht="12.75">
      <c r="A15" s="10" t="s">
        <v>73</v>
      </c>
      <c r="B15" s="10" t="s">
        <v>26</v>
      </c>
      <c r="C15" s="13">
        <f>SUM(AJ13)</f>
        <v>7004417.590000002</v>
      </c>
      <c r="D15" s="13">
        <f>SUM(E15:Q15)</f>
        <v>2043275.54</v>
      </c>
      <c r="E15" s="11">
        <v>402105.9</v>
      </c>
      <c r="F15" s="11">
        <v>9089.78</v>
      </c>
      <c r="G15" s="11">
        <v>61605.72</v>
      </c>
      <c r="H15" s="11">
        <v>14807.68</v>
      </c>
      <c r="I15" s="11">
        <v>38724.1</v>
      </c>
      <c r="J15" s="80">
        <v>53468.07</v>
      </c>
      <c r="K15" s="11">
        <v>217672.97</v>
      </c>
      <c r="L15" s="11">
        <v>299703.72</v>
      </c>
      <c r="M15" s="11">
        <v>334531.22</v>
      </c>
      <c r="N15" s="11">
        <v>501792.38</v>
      </c>
      <c r="O15" s="11"/>
      <c r="P15" s="11">
        <v>19761.27</v>
      </c>
      <c r="Q15" s="11">
        <v>90012.73</v>
      </c>
      <c r="R15" s="11">
        <v>733.47</v>
      </c>
      <c r="S15" s="11">
        <v>38043.75</v>
      </c>
      <c r="T15" s="11">
        <v>1213040.99</v>
      </c>
      <c r="U15" s="11">
        <v>735786.09</v>
      </c>
      <c r="V15" s="11">
        <v>422776.69</v>
      </c>
      <c r="W15" s="11"/>
      <c r="X15" s="11"/>
      <c r="Y15" s="11"/>
      <c r="Z15" s="11">
        <v>54478.21</v>
      </c>
      <c r="AA15" s="11"/>
      <c r="AB15" s="11"/>
      <c r="AC15" s="11">
        <v>3120</v>
      </c>
      <c r="AD15" s="11"/>
      <c r="AE15" s="11">
        <v>18525</v>
      </c>
      <c r="AF15" s="11">
        <v>1728</v>
      </c>
      <c r="AG15" s="11"/>
      <c r="AH15" s="11">
        <v>3318466.75</v>
      </c>
      <c r="AI15" s="11">
        <v>3876982.06</v>
      </c>
      <c r="AJ15" s="11">
        <f t="shared" si="6"/>
        <v>6445902.280000001</v>
      </c>
      <c r="AL15" s="34"/>
      <c r="AM15" s="25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1:36" s="42" customFormat="1" ht="12">
      <c r="A16" s="39"/>
      <c r="B16" s="39" t="s">
        <v>74</v>
      </c>
      <c r="C16" s="40">
        <f>SUM(C12)</f>
        <v>5988211.4399999995</v>
      </c>
      <c r="D16" s="41">
        <f>SUM(E16:Q16)</f>
        <v>12082578.28</v>
      </c>
      <c r="E16" s="40">
        <f>SUM(E15,E14)</f>
        <v>2412669.1599999997</v>
      </c>
      <c r="F16" s="40">
        <f aca="true" t="shared" si="8" ref="F16:AI16">SUM(F15,F14)</f>
        <v>54539.509999999995</v>
      </c>
      <c r="G16" s="40">
        <f t="shared" si="8"/>
        <v>369639.56999999995</v>
      </c>
      <c r="H16" s="40">
        <f t="shared" si="8"/>
        <v>88847.43</v>
      </c>
      <c r="I16" s="40">
        <f t="shared" si="8"/>
        <v>232347.94</v>
      </c>
      <c r="J16" s="40">
        <f t="shared" si="8"/>
        <v>320812.89999999997</v>
      </c>
      <c r="K16" s="40">
        <f t="shared" si="8"/>
        <v>1306056.51</v>
      </c>
      <c r="L16" s="40">
        <f t="shared" si="8"/>
        <v>1799452.6299999997</v>
      </c>
      <c r="M16" s="40">
        <f t="shared" si="8"/>
        <v>2007215.22</v>
      </c>
      <c r="N16" s="40">
        <f t="shared" si="8"/>
        <v>2832344.23</v>
      </c>
      <c r="O16" s="40">
        <f t="shared" si="8"/>
        <v>0</v>
      </c>
      <c r="P16" s="40">
        <f t="shared" si="8"/>
        <v>118569.17000000001</v>
      </c>
      <c r="Q16" s="40">
        <f t="shared" si="8"/>
        <v>540084.01</v>
      </c>
      <c r="R16" s="40">
        <f t="shared" si="8"/>
        <v>32102.37</v>
      </c>
      <c r="S16" s="40">
        <f t="shared" si="8"/>
        <v>229955.11</v>
      </c>
      <c r="T16" s="40">
        <f t="shared" si="8"/>
        <v>23337351.57</v>
      </c>
      <c r="U16" s="40">
        <f t="shared" si="8"/>
        <v>4533402.72</v>
      </c>
      <c r="V16" s="40">
        <f t="shared" si="8"/>
        <v>2605562.35</v>
      </c>
      <c r="W16" s="40">
        <f t="shared" si="8"/>
        <v>15972527.610000001</v>
      </c>
      <c r="X16" s="40">
        <f t="shared" si="8"/>
        <v>0</v>
      </c>
      <c r="Y16" s="40">
        <f t="shared" si="8"/>
        <v>0</v>
      </c>
      <c r="Z16" s="40">
        <f t="shared" si="8"/>
        <v>225858.88999999998</v>
      </c>
      <c r="AA16" s="40">
        <f t="shared" si="8"/>
        <v>0</v>
      </c>
      <c r="AB16" s="40">
        <f t="shared" si="8"/>
        <v>0</v>
      </c>
      <c r="AC16" s="40">
        <f t="shared" si="8"/>
        <v>19360</v>
      </c>
      <c r="AD16" s="40"/>
      <c r="AE16" s="40">
        <f t="shared" si="8"/>
        <v>110900.1</v>
      </c>
      <c r="AF16" s="40">
        <f t="shared" si="8"/>
        <v>10476</v>
      </c>
      <c r="AG16" s="40">
        <f t="shared" si="8"/>
        <v>0</v>
      </c>
      <c r="AH16" s="40">
        <f t="shared" si="8"/>
        <v>35822723.43</v>
      </c>
      <c r="AI16" s="40">
        <f t="shared" si="8"/>
        <v>35365032.59</v>
      </c>
      <c r="AJ16" s="43">
        <f t="shared" si="6"/>
        <v>6445902.279999994</v>
      </c>
    </row>
    <row r="17" spans="1:62" s="15" customFormat="1" ht="12.75">
      <c r="A17" s="10" t="s">
        <v>79</v>
      </c>
      <c r="B17" s="10" t="s">
        <v>26</v>
      </c>
      <c r="C17" s="13">
        <f>SUM(AJ15)</f>
        <v>6445902.280000001</v>
      </c>
      <c r="D17" s="13">
        <f>SUM(E17:Q17)</f>
        <v>2166010.6399999997</v>
      </c>
      <c r="E17" s="11">
        <v>431165.57</v>
      </c>
      <c r="F17" s="11">
        <v>10227.47</v>
      </c>
      <c r="G17" s="11">
        <v>66255.82</v>
      </c>
      <c r="H17" s="11">
        <v>14807.83</v>
      </c>
      <c r="I17" s="11">
        <v>38724.5</v>
      </c>
      <c r="J17" s="80">
        <v>56956.75</v>
      </c>
      <c r="K17" s="11">
        <v>232419.62</v>
      </c>
      <c r="L17" s="11">
        <v>327629.61</v>
      </c>
      <c r="M17" s="11">
        <v>368249.08</v>
      </c>
      <c r="N17" s="11">
        <v>501797.13</v>
      </c>
      <c r="O17" s="11"/>
      <c r="P17" s="11">
        <v>20922.26</v>
      </c>
      <c r="Q17" s="11">
        <v>96855</v>
      </c>
      <c r="R17" s="11">
        <v>8392.12</v>
      </c>
      <c r="S17" s="11">
        <v>41354.36</v>
      </c>
      <c r="T17" s="11">
        <v>1435205.8</v>
      </c>
      <c r="U17" s="11">
        <v>910016.02</v>
      </c>
      <c r="V17" s="11">
        <v>472379.29</v>
      </c>
      <c r="W17" s="11"/>
      <c r="X17" s="11"/>
      <c r="Y17" s="11"/>
      <c r="Z17" s="11">
        <v>52810.49</v>
      </c>
      <c r="AA17" s="11"/>
      <c r="AB17" s="11"/>
      <c r="AC17" s="11">
        <v>3120</v>
      </c>
      <c r="AD17" s="11"/>
      <c r="AE17" s="11">
        <v>18500.02</v>
      </c>
      <c r="AF17" s="11">
        <v>1701</v>
      </c>
      <c r="AG17" s="11"/>
      <c r="AH17" s="11">
        <v>3674283.94</v>
      </c>
      <c r="AI17" s="11">
        <v>3224190.61</v>
      </c>
      <c r="AJ17" s="11">
        <f t="shared" si="6"/>
        <v>6895995.610000001</v>
      </c>
      <c r="AL17" s="34"/>
      <c r="AM17" s="25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pans="1:36" s="42" customFormat="1" ht="12">
      <c r="A18" s="39"/>
      <c r="B18" s="39" t="s">
        <v>88</v>
      </c>
      <c r="C18" s="40">
        <f>SUM(C14)</f>
        <v>5988211.4399999995</v>
      </c>
      <c r="D18" s="41">
        <f>SUM(E18:Q18)</f>
        <v>14248588.919999996</v>
      </c>
      <c r="E18" s="40">
        <f>SUM(E17,E16)</f>
        <v>2843834.7299999995</v>
      </c>
      <c r="F18" s="40">
        <f aca="true" t="shared" si="9" ref="F18:AI18">SUM(F17,F16)</f>
        <v>64766.979999999996</v>
      </c>
      <c r="G18" s="40">
        <f t="shared" si="9"/>
        <v>435895.38999999996</v>
      </c>
      <c r="H18" s="40">
        <f t="shared" si="9"/>
        <v>103655.26</v>
      </c>
      <c r="I18" s="40">
        <f t="shared" si="9"/>
        <v>271072.44</v>
      </c>
      <c r="J18" s="40">
        <f t="shared" si="9"/>
        <v>377769.64999999997</v>
      </c>
      <c r="K18" s="40">
        <f t="shared" si="9"/>
        <v>1538476.13</v>
      </c>
      <c r="L18" s="40">
        <f t="shared" si="9"/>
        <v>2127082.2399999998</v>
      </c>
      <c r="M18" s="40">
        <f t="shared" si="9"/>
        <v>2375464.3</v>
      </c>
      <c r="N18" s="40">
        <f t="shared" si="9"/>
        <v>3334141.36</v>
      </c>
      <c r="O18" s="40">
        <f t="shared" si="9"/>
        <v>0</v>
      </c>
      <c r="P18" s="40">
        <f t="shared" si="9"/>
        <v>139491.43000000002</v>
      </c>
      <c r="Q18" s="40">
        <f t="shared" si="9"/>
        <v>636939.01</v>
      </c>
      <c r="R18" s="40">
        <f t="shared" si="9"/>
        <v>40494.49</v>
      </c>
      <c r="S18" s="40">
        <f t="shared" si="9"/>
        <v>271309.47</v>
      </c>
      <c r="T18" s="40">
        <f t="shared" si="9"/>
        <v>24772557.37</v>
      </c>
      <c r="U18" s="40">
        <f t="shared" si="9"/>
        <v>5443418.74</v>
      </c>
      <c r="V18" s="40">
        <f t="shared" si="9"/>
        <v>3077941.64</v>
      </c>
      <c r="W18" s="40">
        <f t="shared" si="9"/>
        <v>15972527.610000001</v>
      </c>
      <c r="X18" s="40">
        <f t="shared" si="9"/>
        <v>0</v>
      </c>
      <c r="Y18" s="40">
        <f t="shared" si="9"/>
        <v>0</v>
      </c>
      <c r="Z18" s="40">
        <f t="shared" si="9"/>
        <v>278669.38</v>
      </c>
      <c r="AA18" s="40">
        <f t="shared" si="9"/>
        <v>0</v>
      </c>
      <c r="AB18" s="40">
        <f t="shared" si="9"/>
        <v>0</v>
      </c>
      <c r="AC18" s="40">
        <f t="shared" si="9"/>
        <v>22480</v>
      </c>
      <c r="AD18" s="40">
        <f t="shared" si="9"/>
        <v>0</v>
      </c>
      <c r="AE18" s="40">
        <f t="shared" si="9"/>
        <v>129400.12000000001</v>
      </c>
      <c r="AF18" s="40">
        <f t="shared" si="9"/>
        <v>12177</v>
      </c>
      <c r="AG18" s="40">
        <f t="shared" si="9"/>
        <v>0</v>
      </c>
      <c r="AH18" s="40">
        <f t="shared" si="9"/>
        <v>39497007.37</v>
      </c>
      <c r="AI18" s="40">
        <f t="shared" si="9"/>
        <v>38589223.2</v>
      </c>
      <c r="AJ18" s="43">
        <f t="shared" si="6"/>
        <v>6895995.609999992</v>
      </c>
    </row>
    <row r="19" spans="1:62" s="15" customFormat="1" ht="12.75">
      <c r="A19" s="10" t="s">
        <v>80</v>
      </c>
      <c r="B19" s="10" t="s">
        <v>26</v>
      </c>
      <c r="C19" s="13">
        <f>SUM(AJ17)</f>
        <v>6895995.610000001</v>
      </c>
      <c r="D19" s="13">
        <f aca="true" t="shared" si="10" ref="D19:D27">SUM(E19:Q19)</f>
        <v>2166124.16</v>
      </c>
      <c r="E19" s="11">
        <v>431162.6</v>
      </c>
      <c r="F19" s="11">
        <v>10227.4</v>
      </c>
      <c r="G19" s="11">
        <v>66255.37</v>
      </c>
      <c r="H19" s="11">
        <v>14807.72</v>
      </c>
      <c r="I19" s="11">
        <v>38724.23</v>
      </c>
      <c r="J19" s="80">
        <v>56956.36</v>
      </c>
      <c r="K19" s="11">
        <v>232417.98</v>
      </c>
      <c r="L19" s="11">
        <v>327755.59</v>
      </c>
      <c r="M19" s="11">
        <v>368246.56</v>
      </c>
      <c r="N19" s="11">
        <v>501793.92</v>
      </c>
      <c r="O19" s="11"/>
      <c r="P19" s="11">
        <v>20922.11</v>
      </c>
      <c r="Q19" s="11">
        <v>96854.32</v>
      </c>
      <c r="R19" s="11">
        <v>5604.29</v>
      </c>
      <c r="S19" s="11">
        <v>41354.36</v>
      </c>
      <c r="T19" s="11">
        <v>1445073.29</v>
      </c>
      <c r="U19" s="11">
        <v>909672.18</v>
      </c>
      <c r="V19" s="11">
        <v>484162.53</v>
      </c>
      <c r="W19" s="11"/>
      <c r="X19" s="11"/>
      <c r="Y19" s="11"/>
      <c r="Z19" s="11">
        <v>51238.58</v>
      </c>
      <c r="AA19" s="11"/>
      <c r="AB19" s="11"/>
      <c r="AC19" s="11">
        <v>3120</v>
      </c>
      <c r="AD19" s="11"/>
      <c r="AE19" s="11">
        <v>25899.98</v>
      </c>
      <c r="AF19" s="11">
        <v>1701</v>
      </c>
      <c r="AG19" s="11"/>
      <c r="AH19" s="11">
        <v>3688877.08</v>
      </c>
      <c r="AI19" s="11">
        <v>4164665.61</v>
      </c>
      <c r="AJ19" s="11">
        <f aca="true" t="shared" si="11" ref="AJ19:AJ24">SUM(C19+AH19-AI19)</f>
        <v>6420207.080000002</v>
      </c>
      <c r="AL19" s="34"/>
      <c r="AM19" s="25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</row>
    <row r="20" spans="1:36" s="42" customFormat="1" ht="12">
      <c r="A20" s="39"/>
      <c r="B20" s="39" t="s">
        <v>89</v>
      </c>
      <c r="C20" s="40">
        <f>SUM(C16)</f>
        <v>5988211.4399999995</v>
      </c>
      <c r="D20" s="41">
        <f t="shared" si="10"/>
        <v>16414713.079999996</v>
      </c>
      <c r="E20" s="40">
        <f>SUM(E19,E18)</f>
        <v>3274997.3299999996</v>
      </c>
      <c r="F20" s="40">
        <f aca="true" t="shared" si="12" ref="F20:AD20">SUM(F19,F18)</f>
        <v>74994.37999999999</v>
      </c>
      <c r="G20" s="40">
        <f t="shared" si="12"/>
        <v>502150.75999999995</v>
      </c>
      <c r="H20" s="40">
        <f t="shared" si="12"/>
        <v>118462.98</v>
      </c>
      <c r="I20" s="40">
        <f t="shared" si="12"/>
        <v>309796.67</v>
      </c>
      <c r="J20" s="40">
        <f t="shared" si="12"/>
        <v>434726.00999999995</v>
      </c>
      <c r="K20" s="40">
        <f t="shared" si="12"/>
        <v>1770894.1099999999</v>
      </c>
      <c r="L20" s="40">
        <f t="shared" si="12"/>
        <v>2454837.8299999996</v>
      </c>
      <c r="M20" s="40">
        <f t="shared" si="12"/>
        <v>2743710.86</v>
      </c>
      <c r="N20" s="40">
        <f t="shared" si="12"/>
        <v>3835935.28</v>
      </c>
      <c r="O20" s="40">
        <f t="shared" si="12"/>
        <v>0</v>
      </c>
      <c r="P20" s="40">
        <f t="shared" si="12"/>
        <v>160413.54000000004</v>
      </c>
      <c r="Q20" s="40">
        <f t="shared" si="12"/>
        <v>733793.3300000001</v>
      </c>
      <c r="R20" s="40">
        <f t="shared" si="12"/>
        <v>46098.78</v>
      </c>
      <c r="S20" s="40">
        <f t="shared" si="12"/>
        <v>312663.82999999996</v>
      </c>
      <c r="T20" s="40">
        <f t="shared" si="12"/>
        <v>26217630.66</v>
      </c>
      <c r="U20" s="40">
        <f t="shared" si="12"/>
        <v>6353090.92</v>
      </c>
      <c r="V20" s="40">
        <f t="shared" si="12"/>
        <v>3562104.17</v>
      </c>
      <c r="W20" s="40">
        <f t="shared" si="12"/>
        <v>15972527.610000001</v>
      </c>
      <c r="X20" s="40">
        <f t="shared" si="12"/>
        <v>0</v>
      </c>
      <c r="Y20" s="40">
        <f t="shared" si="12"/>
        <v>0</v>
      </c>
      <c r="Z20" s="40">
        <f t="shared" si="12"/>
        <v>329907.96</v>
      </c>
      <c r="AA20" s="40">
        <f t="shared" si="12"/>
        <v>0</v>
      </c>
      <c r="AB20" s="40">
        <f t="shared" si="12"/>
        <v>0</v>
      </c>
      <c r="AC20" s="40">
        <f t="shared" si="12"/>
        <v>25600</v>
      </c>
      <c r="AD20" s="40">
        <f t="shared" si="12"/>
        <v>0</v>
      </c>
      <c r="AE20" s="40">
        <f>SUM(AE19,AE18)</f>
        <v>155300.1</v>
      </c>
      <c r="AF20" s="40">
        <f>SUM(AF19,AF18)</f>
        <v>13878</v>
      </c>
      <c r="AG20" s="40">
        <f>SUM(AG19,AG18)</f>
        <v>0</v>
      </c>
      <c r="AH20" s="40">
        <f>SUM(AH19,AH18)</f>
        <v>43185884.449999996</v>
      </c>
      <c r="AI20" s="40">
        <f>SUM(AI19,AI18)</f>
        <v>42753888.81</v>
      </c>
      <c r="AJ20" s="43">
        <f t="shared" si="11"/>
        <v>6420207.079999991</v>
      </c>
    </row>
    <row r="21" spans="1:62" s="15" customFormat="1" ht="12.75">
      <c r="A21" s="10" t="s">
        <v>81</v>
      </c>
      <c r="B21" s="10" t="s">
        <v>26</v>
      </c>
      <c r="C21" s="13">
        <f>SUM(AJ19)</f>
        <v>6420207.080000002</v>
      </c>
      <c r="D21" s="13">
        <f t="shared" si="10"/>
        <v>2166062.42</v>
      </c>
      <c r="E21" s="11">
        <v>431126.72</v>
      </c>
      <c r="F21" s="11">
        <v>10226.52</v>
      </c>
      <c r="G21" s="11">
        <v>66249.86</v>
      </c>
      <c r="H21" s="11">
        <v>14806.46</v>
      </c>
      <c r="I21" s="11">
        <v>38720.93</v>
      </c>
      <c r="J21" s="80">
        <v>56951.62</v>
      </c>
      <c r="K21" s="11">
        <v>232411.07</v>
      </c>
      <c r="L21" s="11">
        <v>327831.51</v>
      </c>
      <c r="M21" s="11">
        <v>368216.11</v>
      </c>
      <c r="N21" s="11">
        <v>501755.14</v>
      </c>
      <c r="O21" s="11"/>
      <c r="P21" s="11">
        <v>20920.37</v>
      </c>
      <c r="Q21" s="11">
        <v>96846.11</v>
      </c>
      <c r="R21" s="11">
        <v>6246.45</v>
      </c>
      <c r="S21" s="11">
        <v>39964.27</v>
      </c>
      <c r="T21" s="11">
        <v>1473495.77</v>
      </c>
      <c r="U21" s="11">
        <v>920018.74</v>
      </c>
      <c r="V21" s="11">
        <v>489457</v>
      </c>
      <c r="W21" s="11"/>
      <c r="X21" s="11"/>
      <c r="Y21" s="11"/>
      <c r="Z21" s="11">
        <v>64020.03</v>
      </c>
      <c r="AA21" s="11"/>
      <c r="AB21" s="11"/>
      <c r="AC21" s="11">
        <v>3510</v>
      </c>
      <c r="AD21" s="11"/>
      <c r="AE21" s="11">
        <v>21915</v>
      </c>
      <c r="AF21" s="11">
        <v>1701</v>
      </c>
      <c r="AG21" s="11"/>
      <c r="AH21" s="11">
        <v>3712894.91</v>
      </c>
      <c r="AI21" s="11">
        <v>3627316.72</v>
      </c>
      <c r="AJ21" s="11">
        <f t="shared" si="11"/>
        <v>6505785.270000001</v>
      </c>
      <c r="AL21" s="34"/>
      <c r="AM21" s="25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1:36" s="42" customFormat="1" ht="12">
      <c r="A22" s="39"/>
      <c r="B22" s="39" t="s">
        <v>91</v>
      </c>
      <c r="C22" s="40">
        <f>SUM(C18)</f>
        <v>5988211.4399999995</v>
      </c>
      <c r="D22" s="41">
        <f t="shared" si="10"/>
        <v>18580775.5</v>
      </c>
      <c r="E22" s="40">
        <f>SUM(E21,E20)</f>
        <v>3706124.05</v>
      </c>
      <c r="F22" s="40">
        <f aca="true" t="shared" si="13" ref="F22:AD22">SUM(F21,F20)</f>
        <v>85220.9</v>
      </c>
      <c r="G22" s="40">
        <f t="shared" si="13"/>
        <v>568400.62</v>
      </c>
      <c r="H22" s="40">
        <f t="shared" si="13"/>
        <v>133269.44</v>
      </c>
      <c r="I22" s="40">
        <f t="shared" si="13"/>
        <v>348517.6</v>
      </c>
      <c r="J22" s="40">
        <f t="shared" si="13"/>
        <v>491677.62999999995</v>
      </c>
      <c r="K22" s="40">
        <f t="shared" si="13"/>
        <v>2003305.18</v>
      </c>
      <c r="L22" s="40">
        <f t="shared" si="13"/>
        <v>2782669.34</v>
      </c>
      <c r="M22" s="40">
        <f t="shared" si="13"/>
        <v>3111926.9699999997</v>
      </c>
      <c r="N22" s="40">
        <f t="shared" si="13"/>
        <v>4337690.42</v>
      </c>
      <c r="O22" s="40">
        <f t="shared" si="13"/>
        <v>0</v>
      </c>
      <c r="P22" s="40">
        <f t="shared" si="13"/>
        <v>181333.91000000003</v>
      </c>
      <c r="Q22" s="40">
        <f t="shared" si="13"/>
        <v>830639.4400000001</v>
      </c>
      <c r="R22" s="40">
        <f t="shared" si="13"/>
        <v>52345.229999999996</v>
      </c>
      <c r="S22" s="40">
        <f t="shared" si="13"/>
        <v>352628.1</v>
      </c>
      <c r="T22" s="40">
        <f t="shared" si="13"/>
        <v>27691126.43</v>
      </c>
      <c r="U22" s="40">
        <f t="shared" si="13"/>
        <v>7273109.66</v>
      </c>
      <c r="V22" s="40">
        <f t="shared" si="13"/>
        <v>4051561.17</v>
      </c>
      <c r="W22" s="40">
        <f t="shared" si="13"/>
        <v>15972527.610000001</v>
      </c>
      <c r="X22" s="40">
        <f t="shared" si="13"/>
        <v>0</v>
      </c>
      <c r="Y22" s="40">
        <f t="shared" si="13"/>
        <v>0</v>
      </c>
      <c r="Z22" s="40">
        <f t="shared" si="13"/>
        <v>393927.99</v>
      </c>
      <c r="AA22" s="40">
        <f t="shared" si="13"/>
        <v>0</v>
      </c>
      <c r="AB22" s="40">
        <f t="shared" si="13"/>
        <v>0</v>
      </c>
      <c r="AC22" s="40">
        <f t="shared" si="13"/>
        <v>29110</v>
      </c>
      <c r="AD22" s="40">
        <f t="shared" si="13"/>
        <v>0</v>
      </c>
      <c r="AE22" s="40">
        <f>SUM(AE21,AE20)</f>
        <v>177215.1</v>
      </c>
      <c r="AF22" s="40">
        <f>SUM(AF21,AF20)</f>
        <v>15579</v>
      </c>
      <c r="AG22" s="40">
        <f>SUM(AG21,AG20)</f>
        <v>0</v>
      </c>
      <c r="AH22" s="40">
        <f>SUM(AH21,AH20)</f>
        <v>46898779.36</v>
      </c>
      <c r="AI22" s="40">
        <f>SUM(AI21,AI20)</f>
        <v>46381205.53</v>
      </c>
      <c r="AJ22" s="43">
        <f t="shared" si="11"/>
        <v>6505785.269999996</v>
      </c>
    </row>
    <row r="23" spans="1:62" s="15" customFormat="1" ht="12.75">
      <c r="A23" s="10" t="s">
        <v>82</v>
      </c>
      <c r="B23" s="10" t="s">
        <v>26</v>
      </c>
      <c r="C23" s="13">
        <f>SUM(AJ21)</f>
        <v>6505785.270000001</v>
      </c>
      <c r="D23" s="13">
        <f t="shared" si="10"/>
        <v>2130082.14</v>
      </c>
      <c r="E23" s="13">
        <v>431119.67</v>
      </c>
      <c r="F23" s="13">
        <v>10226.35</v>
      </c>
      <c r="G23" s="13">
        <v>66248.78</v>
      </c>
      <c r="H23" s="13">
        <v>14806.21</v>
      </c>
      <c r="I23" s="13">
        <v>38720.28</v>
      </c>
      <c r="J23" s="13">
        <v>56950.69</v>
      </c>
      <c r="K23" s="13">
        <v>232407.17</v>
      </c>
      <c r="L23" s="13">
        <v>327570.67</v>
      </c>
      <c r="M23" s="13">
        <v>368210.12</v>
      </c>
      <c r="N23" s="13">
        <v>466057.69</v>
      </c>
      <c r="O23" s="13"/>
      <c r="P23" s="13">
        <v>20920.02</v>
      </c>
      <c r="Q23" s="13">
        <v>96844.49</v>
      </c>
      <c r="R23" s="13">
        <v>12311.9</v>
      </c>
      <c r="S23" s="13">
        <v>40330.02</v>
      </c>
      <c r="T23" s="13">
        <f>SUM(U23:AB23)</f>
        <v>4050251.6999999997</v>
      </c>
      <c r="U23" s="13">
        <v>922114.88</v>
      </c>
      <c r="V23" s="13">
        <v>462621.62</v>
      </c>
      <c r="W23" s="13">
        <v>2598723.26</v>
      </c>
      <c r="X23" s="13"/>
      <c r="Y23" s="13"/>
      <c r="Z23" s="13">
        <v>66791.94</v>
      </c>
      <c r="AA23" s="13"/>
      <c r="AB23" s="13"/>
      <c r="AC23" s="13">
        <v>3420</v>
      </c>
      <c r="AD23" s="13"/>
      <c r="AE23" s="13">
        <v>22105</v>
      </c>
      <c r="AF23" s="13">
        <v>1701</v>
      </c>
      <c r="AG23" s="13"/>
      <c r="AH23" s="11">
        <f>SUM(D23,R23,S23,T23,AC23,AD23,AE23,AF23,AG23)</f>
        <v>6260201.76</v>
      </c>
      <c r="AI23" s="13">
        <v>4984035.56</v>
      </c>
      <c r="AJ23" s="11">
        <f t="shared" si="11"/>
        <v>7781951.470000002</v>
      </c>
      <c r="AL23" s="34"/>
      <c r="AM23" s="25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</row>
    <row r="24" spans="1:36" s="42" customFormat="1" ht="12">
      <c r="A24" s="39"/>
      <c r="B24" s="39" t="s">
        <v>93</v>
      </c>
      <c r="C24" s="40">
        <f>SUM(C20)</f>
        <v>5988211.4399999995</v>
      </c>
      <c r="D24" s="41">
        <f t="shared" si="10"/>
        <v>20710857.64</v>
      </c>
      <c r="E24" s="40">
        <f>SUM(E23,E22)</f>
        <v>4137243.7199999997</v>
      </c>
      <c r="F24" s="40">
        <f aca="true" t="shared" si="14" ref="F24:AD24">SUM(F23,F22)</f>
        <v>95447.25</v>
      </c>
      <c r="G24" s="40">
        <f t="shared" si="14"/>
        <v>634649.4</v>
      </c>
      <c r="H24" s="40">
        <f t="shared" si="14"/>
        <v>148075.65</v>
      </c>
      <c r="I24" s="40">
        <f t="shared" si="14"/>
        <v>387237.88</v>
      </c>
      <c r="J24" s="40">
        <f t="shared" si="14"/>
        <v>548628.32</v>
      </c>
      <c r="K24" s="40">
        <f t="shared" si="14"/>
        <v>2235712.35</v>
      </c>
      <c r="L24" s="40">
        <f t="shared" si="14"/>
        <v>3110240.01</v>
      </c>
      <c r="M24" s="40">
        <f t="shared" si="14"/>
        <v>3480137.09</v>
      </c>
      <c r="N24" s="40">
        <f t="shared" si="14"/>
        <v>4803748.11</v>
      </c>
      <c r="O24" s="40">
        <f t="shared" si="14"/>
        <v>0</v>
      </c>
      <c r="P24" s="40">
        <f t="shared" si="14"/>
        <v>202253.93000000002</v>
      </c>
      <c r="Q24" s="40">
        <f t="shared" si="14"/>
        <v>927483.93</v>
      </c>
      <c r="R24" s="40">
        <f t="shared" si="14"/>
        <v>64657.13</v>
      </c>
      <c r="S24" s="40">
        <f t="shared" si="14"/>
        <v>392958.12</v>
      </c>
      <c r="T24" s="40">
        <f t="shared" si="14"/>
        <v>31741378.13</v>
      </c>
      <c r="U24" s="40">
        <f t="shared" si="14"/>
        <v>8195224.54</v>
      </c>
      <c r="V24" s="40">
        <f t="shared" si="14"/>
        <v>4514182.79</v>
      </c>
      <c r="W24" s="40">
        <f t="shared" si="14"/>
        <v>18571250.87</v>
      </c>
      <c r="X24" s="40">
        <f t="shared" si="14"/>
        <v>0</v>
      </c>
      <c r="Y24" s="40">
        <f t="shared" si="14"/>
        <v>0</v>
      </c>
      <c r="Z24" s="40">
        <f t="shared" si="14"/>
        <v>460719.93</v>
      </c>
      <c r="AA24" s="40">
        <f t="shared" si="14"/>
        <v>0</v>
      </c>
      <c r="AB24" s="40">
        <f t="shared" si="14"/>
        <v>0</v>
      </c>
      <c r="AC24" s="40">
        <f t="shared" si="14"/>
        <v>32530</v>
      </c>
      <c r="AD24" s="40">
        <f t="shared" si="14"/>
        <v>0</v>
      </c>
      <c r="AE24" s="40">
        <f>SUM(AE23,AE22)</f>
        <v>199320.1</v>
      </c>
      <c r="AF24" s="40">
        <f>SUM(AF23,AF22)</f>
        <v>17280</v>
      </c>
      <c r="AG24" s="40">
        <f>SUM(AG23,AG22)</f>
        <v>0</v>
      </c>
      <c r="AH24" s="40">
        <f>SUM(AH23,AH22)</f>
        <v>53158981.12</v>
      </c>
      <c r="AI24" s="40">
        <f>SUM(AI23,AI22)</f>
        <v>51365241.09</v>
      </c>
      <c r="AJ24" s="43">
        <f t="shared" si="11"/>
        <v>7781951.469999991</v>
      </c>
    </row>
    <row r="25" spans="1:62" s="15" customFormat="1" ht="12.75">
      <c r="A25" s="10" t="s">
        <v>83</v>
      </c>
      <c r="B25" s="10" t="s">
        <v>26</v>
      </c>
      <c r="C25" s="13">
        <f>SUM(AJ23)</f>
        <v>7781951.470000002</v>
      </c>
      <c r="D25" s="13">
        <f t="shared" si="10"/>
        <v>2130251.21</v>
      </c>
      <c r="E25" s="11">
        <v>431117.44</v>
      </c>
      <c r="F25" s="11">
        <v>10226.3</v>
      </c>
      <c r="G25" s="11">
        <v>66248.44</v>
      </c>
      <c r="H25" s="11">
        <v>14806.13</v>
      </c>
      <c r="I25" s="11">
        <v>38720.08</v>
      </c>
      <c r="J25" s="80">
        <v>56950.4</v>
      </c>
      <c r="K25" s="11">
        <v>232405.94</v>
      </c>
      <c r="L25" s="11">
        <v>327749.08</v>
      </c>
      <c r="M25" s="11">
        <v>368208.23</v>
      </c>
      <c r="N25" s="11">
        <v>466055.28</v>
      </c>
      <c r="O25" s="11"/>
      <c r="P25" s="11">
        <v>20919.91</v>
      </c>
      <c r="Q25" s="11">
        <v>96843.98</v>
      </c>
      <c r="R25" s="11">
        <v>10459.72</v>
      </c>
      <c r="S25" s="11">
        <v>34848.68</v>
      </c>
      <c r="T25" s="11">
        <v>5979166.64</v>
      </c>
      <c r="U25" s="11">
        <v>941894.46</v>
      </c>
      <c r="V25" s="11">
        <v>478921.62</v>
      </c>
      <c r="W25" s="11">
        <v>4244697.13</v>
      </c>
      <c r="X25" s="11"/>
      <c r="Y25" s="11"/>
      <c r="Z25" s="11">
        <v>313653.43</v>
      </c>
      <c r="AA25" s="11"/>
      <c r="AB25" s="11"/>
      <c r="AC25" s="11">
        <v>3420</v>
      </c>
      <c r="AD25" s="11"/>
      <c r="AE25" s="11">
        <v>22105</v>
      </c>
      <c r="AF25" s="11">
        <v>1701</v>
      </c>
      <c r="AG25" s="11"/>
      <c r="AH25" s="11">
        <v>8181952.25</v>
      </c>
      <c r="AI25" s="11">
        <v>6262163.38</v>
      </c>
      <c r="AJ25" s="11">
        <f>SUM(C25+AH25-AI25)</f>
        <v>9701740.340000004</v>
      </c>
      <c r="AL25" s="34"/>
      <c r="AM25" s="25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</row>
    <row r="26" spans="1:36" s="42" customFormat="1" ht="12">
      <c r="A26" s="39"/>
      <c r="B26" s="39" t="s">
        <v>94</v>
      </c>
      <c r="C26" s="40">
        <f>SUM(C22)</f>
        <v>5988211.4399999995</v>
      </c>
      <c r="D26" s="41">
        <f>SUM(E26:Q26)</f>
        <v>22841108.85</v>
      </c>
      <c r="E26" s="40">
        <f>SUM(E25,E24)</f>
        <v>4568361.16</v>
      </c>
      <c r="F26" s="40">
        <f aca="true" t="shared" si="15" ref="F26:AD26">SUM(F25,F24)</f>
        <v>105673.55</v>
      </c>
      <c r="G26" s="40">
        <f t="shared" si="15"/>
        <v>700897.8400000001</v>
      </c>
      <c r="H26" s="40">
        <f t="shared" si="15"/>
        <v>162881.78</v>
      </c>
      <c r="I26" s="40">
        <f t="shared" si="15"/>
        <v>425957.96</v>
      </c>
      <c r="J26" s="40">
        <f t="shared" si="15"/>
        <v>605578.72</v>
      </c>
      <c r="K26" s="40">
        <f t="shared" si="15"/>
        <v>2468118.29</v>
      </c>
      <c r="L26" s="40">
        <f t="shared" si="15"/>
        <v>3437989.09</v>
      </c>
      <c r="M26" s="40">
        <f t="shared" si="15"/>
        <v>3848345.32</v>
      </c>
      <c r="N26" s="40">
        <f t="shared" si="15"/>
        <v>5269803.390000001</v>
      </c>
      <c r="O26" s="40">
        <f t="shared" si="15"/>
        <v>0</v>
      </c>
      <c r="P26" s="40">
        <f t="shared" si="15"/>
        <v>223173.84000000003</v>
      </c>
      <c r="Q26" s="40">
        <f t="shared" si="15"/>
        <v>1024327.91</v>
      </c>
      <c r="R26" s="40">
        <f t="shared" si="15"/>
        <v>75116.84999999999</v>
      </c>
      <c r="S26" s="40">
        <f t="shared" si="15"/>
        <v>427806.8</v>
      </c>
      <c r="T26" s="40">
        <f t="shared" si="15"/>
        <v>37720544.769999996</v>
      </c>
      <c r="U26" s="40">
        <f t="shared" si="15"/>
        <v>9137119</v>
      </c>
      <c r="V26" s="40">
        <f t="shared" si="15"/>
        <v>4993104.41</v>
      </c>
      <c r="W26" s="40">
        <f t="shared" si="15"/>
        <v>22815948</v>
      </c>
      <c r="X26" s="40">
        <f t="shared" si="15"/>
        <v>0</v>
      </c>
      <c r="Y26" s="40">
        <f t="shared" si="15"/>
        <v>0</v>
      </c>
      <c r="Z26" s="40">
        <f t="shared" si="15"/>
        <v>774373.36</v>
      </c>
      <c r="AA26" s="40">
        <f t="shared" si="15"/>
        <v>0</v>
      </c>
      <c r="AB26" s="40">
        <f t="shared" si="15"/>
        <v>0</v>
      </c>
      <c r="AC26" s="40">
        <f t="shared" si="15"/>
        <v>35950</v>
      </c>
      <c r="AD26" s="40">
        <f t="shared" si="15"/>
        <v>0</v>
      </c>
      <c r="AE26" s="40">
        <f>SUM(AE25,AE24)</f>
        <v>221425.1</v>
      </c>
      <c r="AF26" s="40">
        <f>SUM(AF25,AF24)</f>
        <v>18981</v>
      </c>
      <c r="AG26" s="40">
        <f>SUM(AG25,AG24)</f>
        <v>0</v>
      </c>
      <c r="AH26" s="40">
        <f>SUM(AH25,AH24)</f>
        <v>61340933.37</v>
      </c>
      <c r="AI26" s="40">
        <f>SUM(AI25,AI24)</f>
        <v>57627404.470000006</v>
      </c>
      <c r="AJ26" s="43">
        <f>SUM(C26+AH26-AI26)</f>
        <v>9701740.339999996</v>
      </c>
    </row>
    <row r="27" spans="1:62" s="15" customFormat="1" ht="12.75">
      <c r="A27" s="10" t="s">
        <v>84</v>
      </c>
      <c r="B27" s="10" t="s">
        <v>26</v>
      </c>
      <c r="C27" s="13">
        <f>SUM(AJ25)</f>
        <v>9701740.340000004</v>
      </c>
      <c r="D27" s="13">
        <f t="shared" si="10"/>
        <v>2129738.83</v>
      </c>
      <c r="E27" s="11">
        <v>431115.96</v>
      </c>
      <c r="F27" s="11">
        <v>10226.26</v>
      </c>
      <c r="G27" s="11">
        <v>66248.22</v>
      </c>
      <c r="H27" s="11">
        <v>14806.07</v>
      </c>
      <c r="I27" s="11">
        <v>38719.94</v>
      </c>
      <c r="J27" s="80">
        <v>56950.2</v>
      </c>
      <c r="K27" s="11">
        <v>232405.12</v>
      </c>
      <c r="L27" s="11">
        <v>327242.92</v>
      </c>
      <c r="M27" s="11">
        <v>368206.97</v>
      </c>
      <c r="N27" s="11">
        <v>466053.68</v>
      </c>
      <c r="O27" s="11"/>
      <c r="P27" s="11">
        <v>20919.85</v>
      </c>
      <c r="Q27" s="11">
        <v>96843.64</v>
      </c>
      <c r="R27" s="11">
        <v>6113.47</v>
      </c>
      <c r="S27" s="11">
        <v>38607.04</v>
      </c>
      <c r="T27" s="11">
        <v>7248425.24</v>
      </c>
      <c r="U27" s="11">
        <v>882369.82</v>
      </c>
      <c r="V27" s="11">
        <v>449892.31</v>
      </c>
      <c r="W27" s="11">
        <v>4979320.79</v>
      </c>
      <c r="X27" s="11"/>
      <c r="Y27" s="11"/>
      <c r="Z27" s="11">
        <v>936842.32</v>
      </c>
      <c r="AA27" s="11"/>
      <c r="AB27" s="11"/>
      <c r="AC27" s="11">
        <v>3420</v>
      </c>
      <c r="AD27" s="11"/>
      <c r="AE27" s="11">
        <v>23545</v>
      </c>
      <c r="AF27" s="11">
        <v>1701</v>
      </c>
      <c r="AG27" s="11"/>
      <c r="AH27" s="11">
        <v>9451550.58</v>
      </c>
      <c r="AI27" s="11">
        <v>10111355.11</v>
      </c>
      <c r="AJ27" s="11">
        <f>SUM(C27+AH27-AI27)</f>
        <v>9041935.810000002</v>
      </c>
      <c r="AL27" s="34"/>
      <c r="AM27" s="25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1:36" s="42" customFormat="1" ht="12">
      <c r="A28" s="39"/>
      <c r="B28" s="39" t="s">
        <v>95</v>
      </c>
      <c r="C28" s="40">
        <f>SUM(C24)</f>
        <v>5988211.4399999995</v>
      </c>
      <c r="D28" s="41">
        <f>SUM(E28:Q28)</f>
        <v>24970847.680000003</v>
      </c>
      <c r="E28" s="40">
        <f>SUM(E27,E26)</f>
        <v>4999477.12</v>
      </c>
      <c r="F28" s="40">
        <f aca="true" t="shared" si="16" ref="F28:AD28">SUM(F27,F26)</f>
        <v>115899.81</v>
      </c>
      <c r="G28" s="40">
        <f t="shared" si="16"/>
        <v>767146.06</v>
      </c>
      <c r="H28" s="40">
        <f t="shared" si="16"/>
        <v>177687.85</v>
      </c>
      <c r="I28" s="40">
        <f t="shared" si="16"/>
        <v>464677.9</v>
      </c>
      <c r="J28" s="40">
        <f t="shared" si="16"/>
        <v>662528.9199999999</v>
      </c>
      <c r="K28" s="40">
        <f t="shared" si="16"/>
        <v>2700523.41</v>
      </c>
      <c r="L28" s="40">
        <f t="shared" si="16"/>
        <v>3765232.01</v>
      </c>
      <c r="M28" s="40">
        <f t="shared" si="16"/>
        <v>4216552.29</v>
      </c>
      <c r="N28" s="40">
        <f t="shared" si="16"/>
        <v>5735857.07</v>
      </c>
      <c r="O28" s="40">
        <f t="shared" si="16"/>
        <v>0</v>
      </c>
      <c r="P28" s="40">
        <f t="shared" si="16"/>
        <v>244093.69000000003</v>
      </c>
      <c r="Q28" s="40">
        <f t="shared" si="16"/>
        <v>1121171.55</v>
      </c>
      <c r="R28" s="40">
        <f t="shared" si="16"/>
        <v>81230.31999999999</v>
      </c>
      <c r="S28" s="40">
        <f t="shared" si="16"/>
        <v>466413.83999999997</v>
      </c>
      <c r="T28" s="40">
        <f t="shared" si="16"/>
        <v>44968970.01</v>
      </c>
      <c r="U28" s="40">
        <f t="shared" si="16"/>
        <v>10019488.82</v>
      </c>
      <c r="V28" s="40">
        <f t="shared" si="16"/>
        <v>5442996.72</v>
      </c>
      <c r="W28" s="40">
        <f t="shared" si="16"/>
        <v>27795268.79</v>
      </c>
      <c r="X28" s="40">
        <f t="shared" si="16"/>
        <v>0</v>
      </c>
      <c r="Y28" s="40">
        <f t="shared" si="16"/>
        <v>0</v>
      </c>
      <c r="Z28" s="40">
        <f t="shared" si="16"/>
        <v>1711215.68</v>
      </c>
      <c r="AA28" s="40">
        <f t="shared" si="16"/>
        <v>0</v>
      </c>
      <c r="AB28" s="40">
        <f t="shared" si="16"/>
        <v>0</v>
      </c>
      <c r="AC28" s="40">
        <f t="shared" si="16"/>
        <v>39370</v>
      </c>
      <c r="AD28" s="40">
        <f t="shared" si="16"/>
        <v>0</v>
      </c>
      <c r="AE28" s="40">
        <f>SUM(AE27,AE26)</f>
        <v>244970.1</v>
      </c>
      <c r="AF28" s="40">
        <f>SUM(AF27,AF26)</f>
        <v>20682</v>
      </c>
      <c r="AG28" s="40">
        <f>SUM(AG27,AG26)</f>
        <v>0</v>
      </c>
      <c r="AH28" s="40">
        <f>SUM(AH27,AH26)</f>
        <v>70792483.95</v>
      </c>
      <c r="AI28" s="40">
        <f>SUM(AI27,AI26)</f>
        <v>67738759.58000001</v>
      </c>
      <c r="AJ28" s="43">
        <f>SUM(C28+AH28-AI28)</f>
        <v>9041935.809999987</v>
      </c>
    </row>
    <row r="31" ht="12.75">
      <c r="AI31" s="34">
        <f>SUM(AI28/AH28)</f>
        <v>0.9568637205588547</v>
      </c>
    </row>
  </sheetData>
  <sheetProtection/>
  <mergeCells count="17">
    <mergeCell ref="U3:AB3"/>
    <mergeCell ref="AJ3:AJ4"/>
    <mergeCell ref="AG3:AG4"/>
    <mergeCell ref="AH3:AH4"/>
    <mergeCell ref="AI3:AI4"/>
    <mergeCell ref="AC3:AC4"/>
    <mergeCell ref="AE3:AE4"/>
    <mergeCell ref="AF3:AF4"/>
    <mergeCell ref="AD3:AD4"/>
    <mergeCell ref="S3:S4"/>
    <mergeCell ref="T3:T4"/>
    <mergeCell ref="A3:A4"/>
    <mergeCell ref="B3:B4"/>
    <mergeCell ref="C3:C4"/>
    <mergeCell ref="D3:D4"/>
    <mergeCell ref="E3:Q3"/>
    <mergeCell ref="R3:R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J30"/>
  <sheetViews>
    <sheetView zoomScalePageLayoutView="0" workbookViewId="0" topLeftCell="AC19">
      <selection activeCell="AI37" sqref="AI37"/>
    </sheetView>
  </sheetViews>
  <sheetFormatPr defaultColWidth="9.140625" defaultRowHeight="12.75"/>
  <cols>
    <col min="1" max="1" width="7.8515625" style="9" customWidth="1"/>
    <col min="2" max="2" width="12.8515625" style="9" customWidth="1"/>
    <col min="3" max="3" width="10.8515625" style="9" customWidth="1"/>
    <col min="4" max="4" width="13.140625" style="9" customWidth="1"/>
    <col min="5" max="5" width="11.28125" style="9" bestFit="1" customWidth="1"/>
    <col min="6" max="6" width="10.57421875" style="9" bestFit="1" customWidth="1"/>
    <col min="7" max="7" width="11.57421875" style="9" bestFit="1" customWidth="1"/>
    <col min="8" max="8" width="10.28125" style="9" bestFit="1" customWidth="1"/>
    <col min="9" max="9" width="9.140625" style="9" customWidth="1"/>
    <col min="10" max="10" width="9.8515625" style="9" customWidth="1"/>
    <col min="11" max="11" width="10.8515625" style="9" bestFit="1" customWidth="1"/>
    <col min="12" max="12" width="10.421875" style="9" customWidth="1"/>
    <col min="13" max="13" width="10.421875" style="9" bestFit="1" customWidth="1"/>
    <col min="14" max="14" width="11.140625" style="9" bestFit="1" customWidth="1"/>
    <col min="15" max="15" width="10.421875" style="9" bestFit="1" customWidth="1"/>
    <col min="16" max="16" width="9.421875" style="9" bestFit="1" customWidth="1"/>
    <col min="17" max="17" width="9.28125" style="9" bestFit="1" customWidth="1"/>
    <col min="18" max="19" width="10.00390625" style="9" customWidth="1"/>
    <col min="20" max="20" width="18.421875" style="9" customWidth="1"/>
    <col min="21" max="21" width="11.00390625" style="9" customWidth="1"/>
    <col min="22" max="22" width="10.421875" style="9" customWidth="1"/>
    <col min="23" max="23" width="11.140625" style="9" customWidth="1"/>
    <col min="24" max="24" width="9.8515625" style="9" bestFit="1" customWidth="1"/>
    <col min="25" max="27" width="9.28125" style="9" bestFit="1" customWidth="1"/>
    <col min="28" max="28" width="8.140625" style="9" bestFit="1" customWidth="1"/>
    <col min="29" max="29" width="8.7109375" style="9" customWidth="1"/>
    <col min="30" max="30" width="10.28125" style="9" customWidth="1"/>
    <col min="31" max="31" width="9.421875" style="9" customWidth="1"/>
    <col min="32" max="32" width="8.421875" style="9" customWidth="1"/>
    <col min="33" max="33" width="9.140625" style="9" customWidth="1"/>
    <col min="34" max="34" width="11.28125" style="9" customWidth="1"/>
    <col min="35" max="35" width="11.7109375" style="9" customWidth="1"/>
    <col min="36" max="36" width="9.8515625" style="9" customWidth="1"/>
    <col min="37" max="37" width="11.421875" style="9" customWidth="1"/>
    <col min="38" max="40" width="11.57421875" style="9" bestFit="1" customWidth="1"/>
    <col min="41" max="41" width="11.8515625" style="9" customWidth="1"/>
    <col min="42" max="42" width="11.57421875" style="9" bestFit="1" customWidth="1"/>
    <col min="43" max="43" width="9.57421875" style="9" bestFit="1" customWidth="1"/>
    <col min="44" max="16384" width="9.140625" style="9" customWidth="1"/>
  </cols>
  <sheetData>
    <row r="1" spans="1:62" s="14" customFormat="1" ht="12.75">
      <c r="A1" s="19" t="s">
        <v>97</v>
      </c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ht="12.75">
      <c r="E2" s="18"/>
    </row>
    <row r="3" spans="1:62" s="15" customFormat="1" ht="12.75" customHeight="1">
      <c r="A3" s="120" t="s">
        <v>5</v>
      </c>
      <c r="B3" s="116" t="s">
        <v>6</v>
      </c>
      <c r="C3" s="120" t="s">
        <v>36</v>
      </c>
      <c r="D3" s="116" t="s">
        <v>12</v>
      </c>
      <c r="E3" s="124" t="s">
        <v>15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  <c r="R3" s="122" t="s">
        <v>32</v>
      </c>
      <c r="S3" s="116" t="s">
        <v>11</v>
      </c>
      <c r="T3" s="116" t="s">
        <v>17</v>
      </c>
      <c r="U3" s="124" t="s">
        <v>15</v>
      </c>
      <c r="V3" s="125"/>
      <c r="W3" s="125"/>
      <c r="X3" s="125"/>
      <c r="Y3" s="125"/>
      <c r="Z3" s="125"/>
      <c r="AA3" s="125"/>
      <c r="AB3" s="126"/>
      <c r="AC3" s="116" t="s">
        <v>22</v>
      </c>
      <c r="AD3" s="120" t="s">
        <v>87</v>
      </c>
      <c r="AE3" s="116" t="s">
        <v>86</v>
      </c>
      <c r="AF3" s="116" t="s">
        <v>23</v>
      </c>
      <c r="AG3" s="116" t="s">
        <v>0</v>
      </c>
      <c r="AH3" s="116" t="s">
        <v>25</v>
      </c>
      <c r="AI3" s="116" t="s">
        <v>24</v>
      </c>
      <c r="AJ3" s="116" t="s">
        <v>37</v>
      </c>
      <c r="AK3" s="6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62" s="15" customFormat="1" ht="67.5">
      <c r="A4" s="121"/>
      <c r="B4" s="116"/>
      <c r="C4" s="121"/>
      <c r="D4" s="116"/>
      <c r="E4" s="4" t="s">
        <v>13</v>
      </c>
      <c r="F4" s="4" t="s">
        <v>14</v>
      </c>
      <c r="G4" s="4" t="s">
        <v>4</v>
      </c>
      <c r="H4" s="4" t="s">
        <v>7</v>
      </c>
      <c r="I4" s="4" t="s">
        <v>8</v>
      </c>
      <c r="J4" s="80" t="s">
        <v>0</v>
      </c>
      <c r="K4" s="4" t="s">
        <v>2</v>
      </c>
      <c r="L4" s="4" t="s">
        <v>9</v>
      </c>
      <c r="M4" s="4" t="s">
        <v>28</v>
      </c>
      <c r="N4" s="4" t="s">
        <v>10</v>
      </c>
      <c r="O4" s="4" t="s">
        <v>96</v>
      </c>
      <c r="P4" s="5" t="s">
        <v>1</v>
      </c>
      <c r="Q4" s="4" t="s">
        <v>30</v>
      </c>
      <c r="R4" s="123"/>
      <c r="S4" s="116"/>
      <c r="T4" s="116"/>
      <c r="U4" s="4" t="s">
        <v>18</v>
      </c>
      <c r="V4" s="4" t="s">
        <v>19</v>
      </c>
      <c r="W4" s="4" t="s">
        <v>20</v>
      </c>
      <c r="X4" s="4" t="s">
        <v>21</v>
      </c>
      <c r="Y4" s="4" t="s">
        <v>29</v>
      </c>
      <c r="Z4" s="4" t="s">
        <v>38</v>
      </c>
      <c r="AA4" s="4" t="s">
        <v>39</v>
      </c>
      <c r="AB4" s="4" t="s">
        <v>31</v>
      </c>
      <c r="AC4" s="116"/>
      <c r="AD4" s="121"/>
      <c r="AE4" s="116"/>
      <c r="AF4" s="116"/>
      <c r="AG4" s="116"/>
      <c r="AH4" s="116"/>
      <c r="AI4" s="116"/>
      <c r="AJ4" s="116"/>
      <c r="AK4" s="6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1:62" s="15" customFormat="1" ht="12.75">
      <c r="A5" s="10" t="s">
        <v>16</v>
      </c>
      <c r="B5" s="10" t="s">
        <v>26</v>
      </c>
      <c r="C5" s="13">
        <v>5510455.81</v>
      </c>
      <c r="D5" s="13">
        <f>SUM(E5:Q5)</f>
        <v>1842436.1500000001</v>
      </c>
      <c r="E5" s="11">
        <v>437426.86</v>
      </c>
      <c r="F5" s="11">
        <v>7781.37</v>
      </c>
      <c r="G5" s="11">
        <v>55022.48</v>
      </c>
      <c r="H5" s="11">
        <v>14487.43</v>
      </c>
      <c r="I5" s="11">
        <v>34545.13</v>
      </c>
      <c r="J5" s="80">
        <v>47781.82</v>
      </c>
      <c r="K5" s="11">
        <v>194065.4</v>
      </c>
      <c r="L5" s="11">
        <v>284710.94</v>
      </c>
      <c r="M5" s="11">
        <v>293340.77</v>
      </c>
      <c r="N5" s="11">
        <v>456202.9</v>
      </c>
      <c r="O5" s="11"/>
      <c r="P5" s="11">
        <v>17071.05</v>
      </c>
      <c r="Q5" s="11"/>
      <c r="R5" s="11">
        <v>3662.67</v>
      </c>
      <c r="S5" s="11">
        <v>46796.42</v>
      </c>
      <c r="T5" s="11">
        <v>5175257.26</v>
      </c>
      <c r="U5" s="11">
        <v>689210.96</v>
      </c>
      <c r="V5" s="11">
        <v>420220.57</v>
      </c>
      <c r="W5" s="11">
        <v>4065825.73</v>
      </c>
      <c r="X5" s="11"/>
      <c r="Y5" s="11"/>
      <c r="Z5" s="11"/>
      <c r="AA5" s="11"/>
      <c r="AB5" s="11"/>
      <c r="AC5" s="11">
        <v>3430</v>
      </c>
      <c r="AD5" s="11"/>
      <c r="AE5" s="11">
        <v>14575.02</v>
      </c>
      <c r="AF5" s="11">
        <v>1809</v>
      </c>
      <c r="AG5" s="11"/>
      <c r="AH5" s="11">
        <v>7087966.52</v>
      </c>
      <c r="AI5" s="11">
        <v>4645630.59</v>
      </c>
      <c r="AJ5" s="11">
        <f>SUM(C5+AH5-AI5)</f>
        <v>7952791.739999998</v>
      </c>
      <c r="AL5" s="34"/>
      <c r="AM5" s="25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62" s="17" customFormat="1" ht="12.75">
      <c r="A6" s="16"/>
      <c r="B6" s="7" t="s">
        <v>27</v>
      </c>
      <c r="C6" s="37">
        <f aca="true" t="shared" si="0" ref="C6:AJ6">SUM(C5:C5)</f>
        <v>5510455.81</v>
      </c>
      <c r="D6" s="8">
        <f t="shared" si="0"/>
        <v>1842436.1500000001</v>
      </c>
      <c r="E6" s="12">
        <f t="shared" si="0"/>
        <v>437426.86</v>
      </c>
      <c r="F6" s="12">
        <f t="shared" si="0"/>
        <v>7781.37</v>
      </c>
      <c r="G6" s="12">
        <f t="shared" si="0"/>
        <v>55022.48</v>
      </c>
      <c r="H6" s="12">
        <f t="shared" si="0"/>
        <v>14487.43</v>
      </c>
      <c r="I6" s="12">
        <f t="shared" si="0"/>
        <v>34545.13</v>
      </c>
      <c r="J6" s="12">
        <f t="shared" si="0"/>
        <v>47781.82</v>
      </c>
      <c r="K6" s="12">
        <f t="shared" si="0"/>
        <v>194065.4</v>
      </c>
      <c r="L6" s="12">
        <f t="shared" si="0"/>
        <v>284710.94</v>
      </c>
      <c r="M6" s="12">
        <f t="shared" si="0"/>
        <v>293340.77</v>
      </c>
      <c r="N6" s="12">
        <f t="shared" si="0"/>
        <v>456202.9</v>
      </c>
      <c r="O6" s="12">
        <f t="shared" si="0"/>
        <v>0</v>
      </c>
      <c r="P6" s="12">
        <f t="shared" si="0"/>
        <v>17071.05</v>
      </c>
      <c r="Q6" s="12">
        <f t="shared" si="0"/>
        <v>0</v>
      </c>
      <c r="R6" s="12">
        <f t="shared" si="0"/>
        <v>3662.67</v>
      </c>
      <c r="S6" s="12">
        <f t="shared" si="0"/>
        <v>46796.42</v>
      </c>
      <c r="T6" s="12">
        <f t="shared" si="0"/>
        <v>5175257.26</v>
      </c>
      <c r="U6" s="12">
        <f t="shared" si="0"/>
        <v>689210.96</v>
      </c>
      <c r="V6" s="12">
        <f t="shared" si="0"/>
        <v>420220.57</v>
      </c>
      <c r="W6" s="12">
        <f t="shared" si="0"/>
        <v>4065825.73</v>
      </c>
      <c r="X6" s="12">
        <f t="shared" si="0"/>
        <v>0</v>
      </c>
      <c r="Y6" s="12">
        <f t="shared" si="0"/>
        <v>0</v>
      </c>
      <c r="Z6" s="12">
        <f t="shared" si="0"/>
        <v>0</v>
      </c>
      <c r="AA6" s="12">
        <f t="shared" si="0"/>
        <v>0</v>
      </c>
      <c r="AB6" s="12">
        <f t="shared" si="0"/>
        <v>0</v>
      </c>
      <c r="AC6" s="12">
        <f t="shared" si="0"/>
        <v>3430</v>
      </c>
      <c r="AD6" s="12"/>
      <c r="AE6" s="12">
        <f t="shared" si="0"/>
        <v>14575.02</v>
      </c>
      <c r="AF6" s="12">
        <f t="shared" si="0"/>
        <v>1809</v>
      </c>
      <c r="AG6" s="12">
        <f t="shared" si="0"/>
        <v>0</v>
      </c>
      <c r="AH6" s="12">
        <f t="shared" si="0"/>
        <v>7087966.52</v>
      </c>
      <c r="AI6" s="12">
        <f>SUM(AI5:AI5)</f>
        <v>4645630.59</v>
      </c>
      <c r="AJ6" s="12">
        <f t="shared" si="0"/>
        <v>7952791.739999998</v>
      </c>
      <c r="AL6" s="35"/>
      <c r="AM6" s="24"/>
      <c r="AN6" s="9"/>
      <c r="AO6" s="18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1:62" s="15" customFormat="1" ht="12.75">
      <c r="A7" s="10" t="s">
        <v>65</v>
      </c>
      <c r="B7" s="10" t="s">
        <v>26</v>
      </c>
      <c r="C7" s="13">
        <f>SUM(AJ5)</f>
        <v>7952791.739999998</v>
      </c>
      <c r="D7" s="13">
        <f aca="true" t="shared" si="1" ref="D7:D13">SUM(E7:Q7)</f>
        <v>1875154.07</v>
      </c>
      <c r="E7" s="11">
        <v>446518.94</v>
      </c>
      <c r="F7" s="11">
        <v>7952.48</v>
      </c>
      <c r="G7" s="11">
        <v>56414.39</v>
      </c>
      <c r="H7" s="11">
        <v>14790.21</v>
      </c>
      <c r="I7" s="11">
        <v>35267.1</v>
      </c>
      <c r="J7" s="11">
        <v>48773.78</v>
      </c>
      <c r="K7" s="11">
        <v>198341.58</v>
      </c>
      <c r="L7" s="11">
        <v>284611.59</v>
      </c>
      <c r="M7" s="11">
        <v>299386.32</v>
      </c>
      <c r="N7" s="11">
        <v>465672.44</v>
      </c>
      <c r="O7" s="11"/>
      <c r="P7" s="11">
        <v>17425.24</v>
      </c>
      <c r="Q7" s="11"/>
      <c r="R7" s="11">
        <v>1779.78</v>
      </c>
      <c r="S7" s="11">
        <v>44946.51</v>
      </c>
      <c r="T7" s="11">
        <v>4591364.76</v>
      </c>
      <c r="U7" s="11">
        <v>660523.88</v>
      </c>
      <c r="V7" s="11">
        <v>402944.88</v>
      </c>
      <c r="W7" s="11">
        <v>3527896</v>
      </c>
      <c r="X7" s="11"/>
      <c r="Y7" s="11"/>
      <c r="Z7" s="11"/>
      <c r="AA7" s="11"/>
      <c r="AB7" s="11"/>
      <c r="AC7" s="11">
        <v>3290</v>
      </c>
      <c r="AD7" s="11"/>
      <c r="AE7" s="11">
        <v>15325.02</v>
      </c>
      <c r="AF7" s="11">
        <v>1784.62</v>
      </c>
      <c r="AG7" s="11"/>
      <c r="AH7" s="11">
        <v>6533644.76</v>
      </c>
      <c r="AI7" s="11">
        <v>4627430.93</v>
      </c>
      <c r="AJ7" s="11">
        <f aca="true" t="shared" si="2" ref="AJ7:AJ24">SUM(C7+AH7-AI7)</f>
        <v>9859005.569999998</v>
      </c>
      <c r="AL7" s="34"/>
      <c r="AM7" s="25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36" s="42" customFormat="1" ht="12">
      <c r="A8" s="39"/>
      <c r="B8" s="39" t="s">
        <v>66</v>
      </c>
      <c r="C8" s="40">
        <f>SUM(C5)</f>
        <v>5510455.81</v>
      </c>
      <c r="D8" s="41">
        <f t="shared" si="1"/>
        <v>3717590.2199999997</v>
      </c>
      <c r="E8" s="40">
        <f>SUM(E7,E6)</f>
        <v>883945.8</v>
      </c>
      <c r="F8" s="40">
        <f aca="true" t="shared" si="3" ref="F8:AI8">SUM(F7,F6)</f>
        <v>15733.849999999999</v>
      </c>
      <c r="G8" s="40">
        <f t="shared" si="3"/>
        <v>111436.87</v>
      </c>
      <c r="H8" s="40">
        <f t="shared" si="3"/>
        <v>29277.64</v>
      </c>
      <c r="I8" s="40">
        <f t="shared" si="3"/>
        <v>69812.23</v>
      </c>
      <c r="J8" s="40">
        <f t="shared" si="3"/>
        <v>96555.6</v>
      </c>
      <c r="K8" s="40">
        <f t="shared" si="3"/>
        <v>392406.98</v>
      </c>
      <c r="L8" s="40">
        <f t="shared" si="3"/>
        <v>569322.53</v>
      </c>
      <c r="M8" s="40">
        <f t="shared" si="3"/>
        <v>592727.0900000001</v>
      </c>
      <c r="N8" s="40">
        <f t="shared" si="3"/>
        <v>921875.3400000001</v>
      </c>
      <c r="O8" s="40">
        <f t="shared" si="3"/>
        <v>0</v>
      </c>
      <c r="P8" s="40">
        <f t="shared" si="3"/>
        <v>34496.29</v>
      </c>
      <c r="Q8" s="40">
        <f t="shared" si="3"/>
        <v>0</v>
      </c>
      <c r="R8" s="40">
        <f t="shared" si="3"/>
        <v>5442.45</v>
      </c>
      <c r="S8" s="40">
        <f t="shared" si="3"/>
        <v>91742.93</v>
      </c>
      <c r="T8" s="40">
        <f t="shared" si="3"/>
        <v>9766622.02</v>
      </c>
      <c r="U8" s="40">
        <f t="shared" si="3"/>
        <v>1349734.8399999999</v>
      </c>
      <c r="V8" s="40">
        <f t="shared" si="3"/>
        <v>823165.45</v>
      </c>
      <c r="W8" s="40">
        <f t="shared" si="3"/>
        <v>7593721.73</v>
      </c>
      <c r="X8" s="40">
        <f t="shared" si="3"/>
        <v>0</v>
      </c>
      <c r="Y8" s="40">
        <f t="shared" si="3"/>
        <v>0</v>
      </c>
      <c r="Z8" s="40">
        <f t="shared" si="3"/>
        <v>0</v>
      </c>
      <c r="AA8" s="40">
        <f t="shared" si="3"/>
        <v>0</v>
      </c>
      <c r="AB8" s="40">
        <f t="shared" si="3"/>
        <v>0</v>
      </c>
      <c r="AC8" s="40">
        <f t="shared" si="3"/>
        <v>6720</v>
      </c>
      <c r="AD8" s="40"/>
      <c r="AE8" s="40">
        <f t="shared" si="3"/>
        <v>29900.04</v>
      </c>
      <c r="AF8" s="40">
        <f t="shared" si="3"/>
        <v>3593.62</v>
      </c>
      <c r="AG8" s="40">
        <f t="shared" si="3"/>
        <v>0</v>
      </c>
      <c r="AH8" s="40">
        <f t="shared" si="3"/>
        <v>13621611.28</v>
      </c>
      <c r="AI8" s="40">
        <f t="shared" si="3"/>
        <v>9273061.52</v>
      </c>
      <c r="AJ8" s="43">
        <f t="shared" si="2"/>
        <v>9859005.57</v>
      </c>
    </row>
    <row r="9" spans="1:62" s="15" customFormat="1" ht="12.75">
      <c r="A9" s="10" t="s">
        <v>67</v>
      </c>
      <c r="B9" s="10" t="s">
        <v>26</v>
      </c>
      <c r="C9" s="13">
        <f>SUM(AJ7)</f>
        <v>9859005.569999998</v>
      </c>
      <c r="D9" s="13">
        <f t="shared" si="1"/>
        <v>1880465.1900000002</v>
      </c>
      <c r="E9" s="11">
        <v>446971.54</v>
      </c>
      <c r="F9" s="11">
        <v>7955.39</v>
      </c>
      <c r="G9" s="11">
        <v>55794.79</v>
      </c>
      <c r="H9" s="11">
        <v>14808.37</v>
      </c>
      <c r="I9" s="11">
        <v>35310.48</v>
      </c>
      <c r="J9" s="11">
        <v>48820.76</v>
      </c>
      <c r="K9" s="11">
        <v>198414.82</v>
      </c>
      <c r="L9" s="11">
        <v>285128.03</v>
      </c>
      <c r="M9" s="11">
        <v>299673.09</v>
      </c>
      <c r="N9" s="11">
        <v>466121.83</v>
      </c>
      <c r="O9" s="11"/>
      <c r="P9" s="11">
        <v>17442.09</v>
      </c>
      <c r="Q9" s="11">
        <v>4024</v>
      </c>
      <c r="R9" s="11">
        <v>9185.31</v>
      </c>
      <c r="S9" s="11">
        <v>16936.32</v>
      </c>
      <c r="T9" s="11">
        <v>3367864.49</v>
      </c>
      <c r="U9" s="11">
        <v>609125.85</v>
      </c>
      <c r="V9" s="11">
        <v>373291.48</v>
      </c>
      <c r="W9" s="11">
        <v>2385447.16</v>
      </c>
      <c r="X9" s="11"/>
      <c r="Y9" s="11"/>
      <c r="Z9" s="11"/>
      <c r="AA9" s="11"/>
      <c r="AB9" s="11"/>
      <c r="AC9" s="11">
        <v>3220</v>
      </c>
      <c r="AD9" s="11"/>
      <c r="AE9" s="11">
        <v>14950.02</v>
      </c>
      <c r="AF9" s="11">
        <v>1809</v>
      </c>
      <c r="AG9" s="11"/>
      <c r="AH9" s="11">
        <v>5294430.33</v>
      </c>
      <c r="AI9" s="11">
        <v>8315723.03</v>
      </c>
      <c r="AJ9" s="11">
        <f t="shared" si="2"/>
        <v>6837712.869999998</v>
      </c>
      <c r="AL9" s="34"/>
      <c r="AM9" s="25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1:38" s="42" customFormat="1" ht="12">
      <c r="A10" s="39"/>
      <c r="B10" s="39" t="s">
        <v>68</v>
      </c>
      <c r="C10" s="40">
        <f>SUM(C6)</f>
        <v>5510455.81</v>
      </c>
      <c r="D10" s="41">
        <f t="shared" si="1"/>
        <v>5598055.41</v>
      </c>
      <c r="E10" s="40">
        <f>SUM(E9,E8)</f>
        <v>1330917.34</v>
      </c>
      <c r="F10" s="40">
        <f aca="true" t="shared" si="4" ref="F10:AI10">SUM(F9,F8)</f>
        <v>23689.239999999998</v>
      </c>
      <c r="G10" s="40">
        <f t="shared" si="4"/>
        <v>167231.66</v>
      </c>
      <c r="H10" s="40">
        <f t="shared" si="4"/>
        <v>44086.01</v>
      </c>
      <c r="I10" s="40">
        <f t="shared" si="4"/>
        <v>105122.70999999999</v>
      </c>
      <c r="J10" s="40">
        <f t="shared" si="4"/>
        <v>145376.36000000002</v>
      </c>
      <c r="K10" s="40">
        <f t="shared" si="4"/>
        <v>590821.8</v>
      </c>
      <c r="L10" s="40">
        <f t="shared" si="4"/>
        <v>854450.56</v>
      </c>
      <c r="M10" s="40">
        <f t="shared" si="4"/>
        <v>892400.1800000002</v>
      </c>
      <c r="N10" s="40">
        <f t="shared" si="4"/>
        <v>1387997.1700000002</v>
      </c>
      <c r="O10" s="40">
        <f t="shared" si="4"/>
        <v>0</v>
      </c>
      <c r="P10" s="40">
        <f t="shared" si="4"/>
        <v>51938.380000000005</v>
      </c>
      <c r="Q10" s="40">
        <f t="shared" si="4"/>
        <v>4024</v>
      </c>
      <c r="R10" s="40">
        <f t="shared" si="4"/>
        <v>14627.759999999998</v>
      </c>
      <c r="S10" s="40">
        <f t="shared" si="4"/>
        <v>108679.25</v>
      </c>
      <c r="T10" s="40">
        <f t="shared" si="4"/>
        <v>13134486.51</v>
      </c>
      <c r="U10" s="40">
        <f t="shared" si="4"/>
        <v>1958860.69</v>
      </c>
      <c r="V10" s="40">
        <f t="shared" si="4"/>
        <v>1196456.93</v>
      </c>
      <c r="W10" s="40">
        <f t="shared" si="4"/>
        <v>9979168.89</v>
      </c>
      <c r="X10" s="40">
        <f t="shared" si="4"/>
        <v>0</v>
      </c>
      <c r="Y10" s="40">
        <f t="shared" si="4"/>
        <v>0</v>
      </c>
      <c r="Z10" s="40">
        <f t="shared" si="4"/>
        <v>0</v>
      </c>
      <c r="AA10" s="40">
        <f t="shared" si="4"/>
        <v>0</v>
      </c>
      <c r="AB10" s="40">
        <f t="shared" si="4"/>
        <v>0</v>
      </c>
      <c r="AC10" s="40">
        <f t="shared" si="4"/>
        <v>9940</v>
      </c>
      <c r="AD10" s="40"/>
      <c r="AE10" s="40">
        <f t="shared" si="4"/>
        <v>44850.06</v>
      </c>
      <c r="AF10" s="40">
        <f t="shared" si="4"/>
        <v>5402.62</v>
      </c>
      <c r="AG10" s="40">
        <f t="shared" si="4"/>
        <v>0</v>
      </c>
      <c r="AH10" s="40">
        <f t="shared" si="4"/>
        <v>18916041.61</v>
      </c>
      <c r="AI10" s="40">
        <f t="shared" si="4"/>
        <v>17588784.55</v>
      </c>
      <c r="AJ10" s="43">
        <f t="shared" si="2"/>
        <v>6837712.869999997</v>
      </c>
      <c r="AL10" s="81">
        <f>SUM(AJ10)-'22-ЖКХ'!AA10</f>
        <v>6837712.869999997</v>
      </c>
    </row>
    <row r="11" spans="1:62" s="15" customFormat="1" ht="12.75">
      <c r="A11" s="10" t="s">
        <v>69</v>
      </c>
      <c r="B11" s="10" t="s">
        <v>26</v>
      </c>
      <c r="C11" s="13">
        <f>SUM(AJ9)</f>
        <v>6837712.869999998</v>
      </c>
      <c r="D11" s="13">
        <f t="shared" si="1"/>
        <v>1876566.04</v>
      </c>
      <c r="E11" s="11">
        <v>446968.83</v>
      </c>
      <c r="F11" s="11">
        <v>7955.34</v>
      </c>
      <c r="G11" s="11">
        <v>55794.45</v>
      </c>
      <c r="H11" s="11">
        <v>14808.28</v>
      </c>
      <c r="I11" s="11">
        <v>35310.26</v>
      </c>
      <c r="J11" s="11">
        <v>48820.47</v>
      </c>
      <c r="K11" s="11">
        <v>198413.59</v>
      </c>
      <c r="L11" s="11">
        <v>285262.53</v>
      </c>
      <c r="M11" s="11">
        <v>299671.29</v>
      </c>
      <c r="N11" s="11">
        <v>466119.02</v>
      </c>
      <c r="O11" s="11"/>
      <c r="P11" s="11">
        <v>17441.98</v>
      </c>
      <c r="Q11" s="11"/>
      <c r="R11" s="11">
        <v>6062.32</v>
      </c>
      <c r="S11" s="11">
        <v>41600.94</v>
      </c>
      <c r="T11" s="11">
        <v>3668845.36</v>
      </c>
      <c r="U11" s="11">
        <v>671403.42</v>
      </c>
      <c r="V11" s="11">
        <v>411004.22</v>
      </c>
      <c r="W11" s="11">
        <v>2586437.72</v>
      </c>
      <c r="X11" s="11"/>
      <c r="Y11" s="11"/>
      <c r="Z11" s="11"/>
      <c r="AA11" s="11"/>
      <c r="AB11" s="11"/>
      <c r="AC11" s="11">
        <v>3220</v>
      </c>
      <c r="AD11" s="11"/>
      <c r="AE11" s="11">
        <v>17100.02</v>
      </c>
      <c r="AF11" s="11">
        <v>1809</v>
      </c>
      <c r="AG11" s="11"/>
      <c r="AH11" s="11">
        <v>5615203.68</v>
      </c>
      <c r="AI11" s="11">
        <v>5171274.3</v>
      </c>
      <c r="AJ11" s="11">
        <f t="shared" si="2"/>
        <v>7281642.249999997</v>
      </c>
      <c r="AL11" s="34"/>
      <c r="AM11" s="25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36" s="42" customFormat="1" ht="12">
      <c r="A12" s="39"/>
      <c r="B12" s="39" t="s">
        <v>70</v>
      </c>
      <c r="C12" s="40">
        <f>SUM(C8)</f>
        <v>5510455.81</v>
      </c>
      <c r="D12" s="41">
        <f t="shared" si="1"/>
        <v>7474621.450000001</v>
      </c>
      <c r="E12" s="40">
        <f>SUM(E11,E10)</f>
        <v>1777886.1700000002</v>
      </c>
      <c r="F12" s="40">
        <f aca="true" t="shared" si="5" ref="F12:AI12">SUM(F11,F10)</f>
        <v>31644.579999999998</v>
      </c>
      <c r="G12" s="40">
        <f t="shared" si="5"/>
        <v>223026.11</v>
      </c>
      <c r="H12" s="40">
        <f t="shared" si="5"/>
        <v>58894.29</v>
      </c>
      <c r="I12" s="40">
        <f t="shared" si="5"/>
        <v>140432.97</v>
      </c>
      <c r="J12" s="40">
        <f t="shared" si="5"/>
        <v>194196.83000000002</v>
      </c>
      <c r="K12" s="40">
        <f t="shared" si="5"/>
        <v>789235.39</v>
      </c>
      <c r="L12" s="40">
        <f t="shared" si="5"/>
        <v>1139713.09</v>
      </c>
      <c r="M12" s="40">
        <f t="shared" si="5"/>
        <v>1192071.4700000002</v>
      </c>
      <c r="N12" s="40">
        <f t="shared" si="5"/>
        <v>1854116.1900000002</v>
      </c>
      <c r="O12" s="40">
        <f t="shared" si="5"/>
        <v>0</v>
      </c>
      <c r="P12" s="40">
        <f t="shared" si="5"/>
        <v>69380.36</v>
      </c>
      <c r="Q12" s="40">
        <f t="shared" si="5"/>
        <v>4024</v>
      </c>
      <c r="R12" s="40">
        <f t="shared" si="5"/>
        <v>20690.079999999998</v>
      </c>
      <c r="S12" s="40">
        <f t="shared" si="5"/>
        <v>150280.19</v>
      </c>
      <c r="T12" s="40">
        <f t="shared" si="5"/>
        <v>16803331.87</v>
      </c>
      <c r="U12" s="40">
        <f t="shared" si="5"/>
        <v>2630264.11</v>
      </c>
      <c r="V12" s="40">
        <f t="shared" si="5"/>
        <v>1607461.15</v>
      </c>
      <c r="W12" s="40">
        <f t="shared" si="5"/>
        <v>12565606.610000001</v>
      </c>
      <c r="X12" s="40">
        <f t="shared" si="5"/>
        <v>0</v>
      </c>
      <c r="Y12" s="40">
        <f t="shared" si="5"/>
        <v>0</v>
      </c>
      <c r="Z12" s="40">
        <f t="shared" si="5"/>
        <v>0</v>
      </c>
      <c r="AA12" s="40">
        <f t="shared" si="5"/>
        <v>0</v>
      </c>
      <c r="AB12" s="40">
        <f t="shared" si="5"/>
        <v>0</v>
      </c>
      <c r="AC12" s="40">
        <f t="shared" si="5"/>
        <v>13160</v>
      </c>
      <c r="AD12" s="40"/>
      <c r="AE12" s="40">
        <f t="shared" si="5"/>
        <v>61950.08</v>
      </c>
      <c r="AF12" s="40">
        <f t="shared" si="5"/>
        <v>7211.62</v>
      </c>
      <c r="AG12" s="40">
        <f t="shared" si="5"/>
        <v>0</v>
      </c>
      <c r="AH12" s="40">
        <f t="shared" si="5"/>
        <v>24531245.29</v>
      </c>
      <c r="AI12" s="40">
        <f t="shared" si="5"/>
        <v>22760058.85</v>
      </c>
      <c r="AJ12" s="43">
        <f t="shared" si="2"/>
        <v>7281642.249999996</v>
      </c>
    </row>
    <row r="13" spans="1:62" s="15" customFormat="1" ht="12.75">
      <c r="A13" s="10" t="s">
        <v>71</v>
      </c>
      <c r="B13" s="10" t="s">
        <v>26</v>
      </c>
      <c r="C13" s="13">
        <f>SUM(AJ11)</f>
        <v>7281642.249999997</v>
      </c>
      <c r="D13" s="13">
        <f t="shared" si="1"/>
        <v>1876384.8000000003</v>
      </c>
      <c r="E13" s="11">
        <v>446968.45</v>
      </c>
      <c r="F13" s="11">
        <v>7955.33</v>
      </c>
      <c r="G13" s="11">
        <v>55794.4</v>
      </c>
      <c r="H13" s="11">
        <v>14808.27</v>
      </c>
      <c r="I13" s="11">
        <v>35310.23</v>
      </c>
      <c r="J13" s="11">
        <v>48820.43</v>
      </c>
      <c r="K13" s="11">
        <v>198413.41</v>
      </c>
      <c r="L13" s="11">
        <v>285082.66</v>
      </c>
      <c r="M13" s="11">
        <v>299671.04</v>
      </c>
      <c r="N13" s="11">
        <v>466118.62</v>
      </c>
      <c r="O13" s="11"/>
      <c r="P13" s="11">
        <v>17441.96</v>
      </c>
      <c r="Q13" s="11"/>
      <c r="R13" s="11">
        <v>8087.23</v>
      </c>
      <c r="S13" s="11">
        <v>41955.4</v>
      </c>
      <c r="T13" s="11">
        <v>1333483.58</v>
      </c>
      <c r="U13" s="11">
        <v>641822.37</v>
      </c>
      <c r="V13" s="11">
        <v>393471.41</v>
      </c>
      <c r="W13" s="11">
        <v>298189.8</v>
      </c>
      <c r="X13" s="11"/>
      <c r="Y13" s="11"/>
      <c r="Z13" s="11"/>
      <c r="AA13" s="11"/>
      <c r="AB13" s="11"/>
      <c r="AC13" s="11">
        <v>3150</v>
      </c>
      <c r="AD13" s="11"/>
      <c r="AE13" s="11">
        <v>16200.02</v>
      </c>
      <c r="AF13" s="11">
        <v>1809</v>
      </c>
      <c r="AG13" s="11"/>
      <c r="AH13" s="11">
        <v>3281070.03</v>
      </c>
      <c r="AI13" s="11">
        <v>3596933.24</v>
      </c>
      <c r="AJ13" s="11">
        <f t="shared" si="2"/>
        <v>6965779.039999997</v>
      </c>
      <c r="AL13" s="34"/>
      <c r="AM13" s="25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1:36" s="42" customFormat="1" ht="12">
      <c r="A14" s="39"/>
      <c r="B14" s="39" t="s">
        <v>72</v>
      </c>
      <c r="C14" s="40">
        <f>SUM(C10)</f>
        <v>5510455.81</v>
      </c>
      <c r="D14" s="41">
        <f>SUM(E14:Q14)</f>
        <v>9351006.250000002</v>
      </c>
      <c r="E14" s="40">
        <f>SUM(E13,E12)</f>
        <v>2224854.62</v>
      </c>
      <c r="F14" s="40">
        <f aca="true" t="shared" si="6" ref="F14:AI14">SUM(F13,F12)</f>
        <v>39599.909999999996</v>
      </c>
      <c r="G14" s="40">
        <f t="shared" si="6"/>
        <v>278820.51</v>
      </c>
      <c r="H14" s="40">
        <f t="shared" si="6"/>
        <v>73702.56</v>
      </c>
      <c r="I14" s="40">
        <f t="shared" si="6"/>
        <v>175743.2</v>
      </c>
      <c r="J14" s="40">
        <f t="shared" si="6"/>
        <v>243017.26</v>
      </c>
      <c r="K14" s="40">
        <f t="shared" si="6"/>
        <v>987648.8</v>
      </c>
      <c r="L14" s="40">
        <f t="shared" si="6"/>
        <v>1424795.75</v>
      </c>
      <c r="M14" s="40">
        <f t="shared" si="6"/>
        <v>1491742.5100000002</v>
      </c>
      <c r="N14" s="40">
        <f t="shared" si="6"/>
        <v>2320234.81</v>
      </c>
      <c r="O14" s="40">
        <f t="shared" si="6"/>
        <v>0</v>
      </c>
      <c r="P14" s="40">
        <f t="shared" si="6"/>
        <v>86822.32</v>
      </c>
      <c r="Q14" s="40">
        <f t="shared" si="6"/>
        <v>4024</v>
      </c>
      <c r="R14" s="40">
        <f t="shared" si="6"/>
        <v>28777.309999999998</v>
      </c>
      <c r="S14" s="40">
        <f t="shared" si="6"/>
        <v>192235.59</v>
      </c>
      <c r="T14" s="40">
        <f t="shared" si="6"/>
        <v>18136815.450000003</v>
      </c>
      <c r="U14" s="40">
        <f t="shared" si="6"/>
        <v>3272086.48</v>
      </c>
      <c r="V14" s="40">
        <f t="shared" si="6"/>
        <v>2000932.5599999998</v>
      </c>
      <c r="W14" s="40">
        <f t="shared" si="6"/>
        <v>12863796.410000002</v>
      </c>
      <c r="X14" s="40">
        <f t="shared" si="6"/>
        <v>0</v>
      </c>
      <c r="Y14" s="40">
        <f t="shared" si="6"/>
        <v>0</v>
      </c>
      <c r="Z14" s="40">
        <f t="shared" si="6"/>
        <v>0</v>
      </c>
      <c r="AA14" s="40">
        <f t="shared" si="6"/>
        <v>0</v>
      </c>
      <c r="AB14" s="40">
        <f t="shared" si="6"/>
        <v>0</v>
      </c>
      <c r="AC14" s="40">
        <f t="shared" si="6"/>
        <v>16310</v>
      </c>
      <c r="AD14" s="40"/>
      <c r="AE14" s="40">
        <f t="shared" si="6"/>
        <v>78150.1</v>
      </c>
      <c r="AF14" s="40">
        <f t="shared" si="6"/>
        <v>9020.619999999999</v>
      </c>
      <c r="AG14" s="40">
        <f t="shared" si="6"/>
        <v>0</v>
      </c>
      <c r="AH14" s="40">
        <f t="shared" si="6"/>
        <v>27812315.32</v>
      </c>
      <c r="AI14" s="40">
        <f t="shared" si="6"/>
        <v>26356992.090000004</v>
      </c>
      <c r="AJ14" s="43">
        <f t="shared" si="2"/>
        <v>6965779.039999995</v>
      </c>
    </row>
    <row r="15" spans="1:62" s="15" customFormat="1" ht="12.75">
      <c r="A15" s="10" t="s">
        <v>73</v>
      </c>
      <c r="B15" s="10" t="s">
        <v>26</v>
      </c>
      <c r="C15" s="13">
        <f>SUM(AJ13)</f>
        <v>6965779.039999997</v>
      </c>
      <c r="D15" s="13">
        <f>SUM(E15:Q15)</f>
        <v>1876064.2800000003</v>
      </c>
      <c r="E15" s="11">
        <v>446968.45</v>
      </c>
      <c r="F15" s="11">
        <v>7955.33</v>
      </c>
      <c r="G15" s="11">
        <v>55794.4</v>
      </c>
      <c r="H15" s="11">
        <v>14808.27</v>
      </c>
      <c r="I15" s="11">
        <v>35310.23</v>
      </c>
      <c r="J15" s="11">
        <v>48820.43</v>
      </c>
      <c r="K15" s="11">
        <v>198413.41</v>
      </c>
      <c r="L15" s="11">
        <v>284762.14</v>
      </c>
      <c r="M15" s="11">
        <v>299671.04</v>
      </c>
      <c r="N15" s="11">
        <v>466118.62</v>
      </c>
      <c r="O15" s="11"/>
      <c r="P15" s="11">
        <v>17441.96</v>
      </c>
      <c r="Q15" s="11"/>
      <c r="R15" s="11">
        <v>6394.5</v>
      </c>
      <c r="S15" s="11">
        <v>40927.49</v>
      </c>
      <c r="T15" s="11">
        <v>1046466.38</v>
      </c>
      <c r="U15" s="11">
        <v>649318.47</v>
      </c>
      <c r="V15" s="11">
        <v>397147.91</v>
      </c>
      <c r="W15" s="11"/>
      <c r="X15" s="11"/>
      <c r="Y15" s="11"/>
      <c r="Z15" s="11"/>
      <c r="AA15" s="11"/>
      <c r="AB15" s="11"/>
      <c r="AC15" s="11">
        <v>3150</v>
      </c>
      <c r="AD15" s="11"/>
      <c r="AE15" s="11">
        <v>16550.02</v>
      </c>
      <c r="AF15" s="11">
        <v>1809</v>
      </c>
      <c r="AG15" s="11"/>
      <c r="AH15" s="11">
        <v>2991361.67</v>
      </c>
      <c r="AI15" s="11">
        <v>4135009.22</v>
      </c>
      <c r="AJ15" s="11">
        <f t="shared" si="2"/>
        <v>5822131.4899999965</v>
      </c>
      <c r="AL15" s="34"/>
      <c r="AM15" s="25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1:36" s="42" customFormat="1" ht="12">
      <c r="A16" s="39"/>
      <c r="B16" s="39" t="s">
        <v>74</v>
      </c>
      <c r="C16" s="40">
        <f>SUM(C12)</f>
        <v>5510455.81</v>
      </c>
      <c r="D16" s="41">
        <f>SUM(E16:Q16)</f>
        <v>11227070.530000001</v>
      </c>
      <c r="E16" s="40">
        <f>SUM(E15,E14)</f>
        <v>2671823.0700000003</v>
      </c>
      <c r="F16" s="40">
        <f aca="true" t="shared" si="7" ref="F16:AI16">SUM(F15,F14)</f>
        <v>47555.24</v>
      </c>
      <c r="G16" s="40">
        <f t="shared" si="7"/>
        <v>334614.91000000003</v>
      </c>
      <c r="H16" s="40">
        <f t="shared" si="7"/>
        <v>88510.83</v>
      </c>
      <c r="I16" s="40">
        <f t="shared" si="7"/>
        <v>211053.43000000002</v>
      </c>
      <c r="J16" s="40">
        <f t="shared" si="7"/>
        <v>291837.69</v>
      </c>
      <c r="K16" s="40">
        <f t="shared" si="7"/>
        <v>1186062.21</v>
      </c>
      <c r="L16" s="40">
        <f t="shared" si="7"/>
        <v>1709557.8900000001</v>
      </c>
      <c r="M16" s="40">
        <f t="shared" si="7"/>
        <v>1791413.5500000003</v>
      </c>
      <c r="N16" s="40">
        <f t="shared" si="7"/>
        <v>2786353.43</v>
      </c>
      <c r="O16" s="40">
        <f t="shared" si="7"/>
        <v>0</v>
      </c>
      <c r="P16" s="40">
        <f t="shared" si="7"/>
        <v>104264.28</v>
      </c>
      <c r="Q16" s="40">
        <f t="shared" si="7"/>
        <v>4024</v>
      </c>
      <c r="R16" s="40">
        <f t="shared" si="7"/>
        <v>35171.81</v>
      </c>
      <c r="S16" s="40">
        <f t="shared" si="7"/>
        <v>233163.08</v>
      </c>
      <c r="T16" s="40">
        <f t="shared" si="7"/>
        <v>19183281.830000002</v>
      </c>
      <c r="U16" s="40">
        <f t="shared" si="7"/>
        <v>3921404.95</v>
      </c>
      <c r="V16" s="40">
        <f t="shared" si="7"/>
        <v>2398080.4699999997</v>
      </c>
      <c r="W16" s="40">
        <f t="shared" si="7"/>
        <v>12863796.410000002</v>
      </c>
      <c r="X16" s="40">
        <f t="shared" si="7"/>
        <v>0</v>
      </c>
      <c r="Y16" s="40">
        <f t="shared" si="7"/>
        <v>0</v>
      </c>
      <c r="Z16" s="40">
        <f t="shared" si="7"/>
        <v>0</v>
      </c>
      <c r="AA16" s="40">
        <f t="shared" si="7"/>
        <v>0</v>
      </c>
      <c r="AB16" s="40">
        <f t="shared" si="7"/>
        <v>0</v>
      </c>
      <c r="AC16" s="40">
        <f t="shared" si="7"/>
        <v>19460</v>
      </c>
      <c r="AD16" s="40"/>
      <c r="AE16" s="40">
        <f t="shared" si="7"/>
        <v>94700.12000000001</v>
      </c>
      <c r="AF16" s="40">
        <f t="shared" si="7"/>
        <v>10829.619999999999</v>
      </c>
      <c r="AG16" s="40">
        <f t="shared" si="7"/>
        <v>0</v>
      </c>
      <c r="AH16" s="40">
        <f t="shared" si="7"/>
        <v>30803676.990000002</v>
      </c>
      <c r="AI16" s="40">
        <f t="shared" si="7"/>
        <v>30492001.310000002</v>
      </c>
      <c r="AJ16" s="43">
        <f t="shared" si="2"/>
        <v>5822131.490000002</v>
      </c>
    </row>
    <row r="17" spans="1:62" s="15" customFormat="1" ht="12.75">
      <c r="A17" s="10" t="s">
        <v>79</v>
      </c>
      <c r="B17" s="10" t="s">
        <v>26</v>
      </c>
      <c r="C17" s="13">
        <f>SUM(AJ15)</f>
        <v>5822131.4899999965</v>
      </c>
      <c r="D17" s="13">
        <f>SUM(E17:Q17)</f>
        <v>2008277.3299999998</v>
      </c>
      <c r="E17" s="11">
        <v>402120.12</v>
      </c>
      <c r="F17" s="11">
        <v>9090.14</v>
      </c>
      <c r="G17" s="11">
        <v>61607.92</v>
      </c>
      <c r="H17" s="11">
        <v>14808.28</v>
      </c>
      <c r="I17" s="11">
        <v>38725.61</v>
      </c>
      <c r="J17" s="11">
        <v>53469.96</v>
      </c>
      <c r="K17" s="11">
        <v>217681.43</v>
      </c>
      <c r="L17" s="11">
        <v>300286.65</v>
      </c>
      <c r="M17" s="11">
        <v>334542.97</v>
      </c>
      <c r="N17" s="11">
        <v>466119.02</v>
      </c>
      <c r="O17" s="11"/>
      <c r="P17" s="11">
        <v>19761.94</v>
      </c>
      <c r="Q17" s="11">
        <v>90063.29</v>
      </c>
      <c r="R17" s="11">
        <v>3632.3</v>
      </c>
      <c r="S17" s="11">
        <v>39947.32</v>
      </c>
      <c r="T17" s="11">
        <v>1167208.36</v>
      </c>
      <c r="U17" s="11">
        <v>731073.69</v>
      </c>
      <c r="V17" s="11">
        <v>436134.67</v>
      </c>
      <c r="W17" s="11"/>
      <c r="X17" s="11"/>
      <c r="Y17" s="11"/>
      <c r="Z17" s="11"/>
      <c r="AA17" s="11"/>
      <c r="AB17" s="11"/>
      <c r="AC17" s="11">
        <v>3150</v>
      </c>
      <c r="AD17" s="11"/>
      <c r="AE17" s="11">
        <v>16550.02</v>
      </c>
      <c r="AF17" s="11">
        <v>1809</v>
      </c>
      <c r="AG17" s="11"/>
      <c r="AH17" s="11">
        <v>3240574.33</v>
      </c>
      <c r="AI17" s="11">
        <v>3746641.76</v>
      </c>
      <c r="AJ17" s="11">
        <f t="shared" si="2"/>
        <v>5316064.059999997</v>
      </c>
      <c r="AL17" s="34"/>
      <c r="AM17" s="25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pans="1:36" s="42" customFormat="1" ht="12">
      <c r="A18" s="39"/>
      <c r="B18" s="39" t="s">
        <v>88</v>
      </c>
      <c r="C18" s="40">
        <f>SUM(C14)</f>
        <v>5510455.81</v>
      </c>
      <c r="D18" s="41">
        <f>SUM(E18:Q18)</f>
        <v>13235347.860000001</v>
      </c>
      <c r="E18" s="40">
        <f>SUM(E17,E16)</f>
        <v>3073943.1900000004</v>
      </c>
      <c r="F18" s="40">
        <f aca="true" t="shared" si="8" ref="F18:AI18">SUM(F17,F16)</f>
        <v>56645.38</v>
      </c>
      <c r="G18" s="40">
        <f t="shared" si="8"/>
        <v>396222.83</v>
      </c>
      <c r="H18" s="40">
        <f t="shared" si="8"/>
        <v>103319.11</v>
      </c>
      <c r="I18" s="40">
        <f t="shared" si="8"/>
        <v>249779.04000000004</v>
      </c>
      <c r="J18" s="40">
        <f t="shared" si="8"/>
        <v>345307.65</v>
      </c>
      <c r="K18" s="40">
        <f t="shared" si="8"/>
        <v>1403743.64</v>
      </c>
      <c r="L18" s="40">
        <f t="shared" si="8"/>
        <v>2009844.54</v>
      </c>
      <c r="M18" s="40">
        <f t="shared" si="8"/>
        <v>2125956.5200000005</v>
      </c>
      <c r="N18" s="40">
        <f t="shared" si="8"/>
        <v>3252472.45</v>
      </c>
      <c r="O18" s="40">
        <f t="shared" si="8"/>
        <v>0</v>
      </c>
      <c r="P18" s="40">
        <f t="shared" si="8"/>
        <v>124026.22</v>
      </c>
      <c r="Q18" s="40">
        <f t="shared" si="8"/>
        <v>94087.29</v>
      </c>
      <c r="R18" s="40">
        <f t="shared" si="8"/>
        <v>38804.11</v>
      </c>
      <c r="S18" s="40">
        <f t="shared" si="8"/>
        <v>273110.39999999997</v>
      </c>
      <c r="T18" s="40">
        <f t="shared" si="8"/>
        <v>20350490.19</v>
      </c>
      <c r="U18" s="40">
        <f t="shared" si="8"/>
        <v>4652478.640000001</v>
      </c>
      <c r="V18" s="40">
        <f t="shared" si="8"/>
        <v>2834215.1399999997</v>
      </c>
      <c r="W18" s="40">
        <f t="shared" si="8"/>
        <v>12863796.410000002</v>
      </c>
      <c r="X18" s="40">
        <f t="shared" si="8"/>
        <v>0</v>
      </c>
      <c r="Y18" s="40">
        <f t="shared" si="8"/>
        <v>0</v>
      </c>
      <c r="Z18" s="40">
        <f t="shared" si="8"/>
        <v>0</v>
      </c>
      <c r="AA18" s="40">
        <f t="shared" si="8"/>
        <v>0</v>
      </c>
      <c r="AB18" s="40">
        <f t="shared" si="8"/>
        <v>0</v>
      </c>
      <c r="AC18" s="40">
        <f t="shared" si="8"/>
        <v>22610</v>
      </c>
      <c r="AD18" s="40">
        <f t="shared" si="8"/>
        <v>0</v>
      </c>
      <c r="AE18" s="40">
        <f t="shared" si="8"/>
        <v>111250.14000000001</v>
      </c>
      <c r="AF18" s="40">
        <f t="shared" si="8"/>
        <v>12638.619999999999</v>
      </c>
      <c r="AG18" s="40">
        <f t="shared" si="8"/>
        <v>0</v>
      </c>
      <c r="AH18" s="40">
        <f t="shared" si="8"/>
        <v>34044251.32</v>
      </c>
      <c r="AI18" s="40">
        <f t="shared" si="8"/>
        <v>34238643.07</v>
      </c>
      <c r="AJ18" s="43">
        <f t="shared" si="2"/>
        <v>5316064.060000002</v>
      </c>
    </row>
    <row r="19" spans="1:62" s="15" customFormat="1" ht="12.75">
      <c r="A19" s="10" t="s">
        <v>80</v>
      </c>
      <c r="B19" s="10" t="s">
        <v>26</v>
      </c>
      <c r="C19" s="13">
        <f>SUM(AJ17)</f>
        <v>5316064.059999997</v>
      </c>
      <c r="D19" s="13">
        <f aca="true" t="shared" si="9" ref="D19:D27">SUM(E19:Q19)</f>
        <v>2008282.77</v>
      </c>
      <c r="E19" s="11">
        <v>402120.12</v>
      </c>
      <c r="F19" s="11">
        <v>9090.14</v>
      </c>
      <c r="G19" s="11">
        <v>61607.92</v>
      </c>
      <c r="H19" s="11">
        <v>14808.28</v>
      </c>
      <c r="I19" s="11">
        <v>38725.61</v>
      </c>
      <c r="J19" s="11">
        <v>53469.96</v>
      </c>
      <c r="K19" s="11">
        <v>217681.43</v>
      </c>
      <c r="L19" s="11">
        <v>300292.09</v>
      </c>
      <c r="M19" s="11">
        <v>334542.97</v>
      </c>
      <c r="N19" s="11">
        <v>466119.02</v>
      </c>
      <c r="O19" s="11"/>
      <c r="P19" s="11">
        <v>19761.94</v>
      </c>
      <c r="Q19" s="11">
        <v>90063.29</v>
      </c>
      <c r="R19" s="11">
        <v>3230.79</v>
      </c>
      <c r="S19" s="11">
        <v>38358.33</v>
      </c>
      <c r="T19" s="11">
        <v>1194756.41</v>
      </c>
      <c r="U19" s="11">
        <v>741724.69</v>
      </c>
      <c r="V19" s="11">
        <v>453031.72</v>
      </c>
      <c r="W19" s="11"/>
      <c r="X19" s="11"/>
      <c r="Y19" s="11"/>
      <c r="Z19" s="11"/>
      <c r="AA19" s="11"/>
      <c r="AB19" s="11"/>
      <c r="AC19" s="11">
        <v>3150</v>
      </c>
      <c r="AD19" s="11"/>
      <c r="AE19" s="11">
        <v>16575.02</v>
      </c>
      <c r="AF19" s="11">
        <v>1782</v>
      </c>
      <c r="AG19" s="11"/>
      <c r="AH19" s="11">
        <v>3266135.32</v>
      </c>
      <c r="AI19" s="11">
        <v>2954694.67</v>
      </c>
      <c r="AJ19" s="11">
        <f t="shared" si="2"/>
        <v>5627504.709999997</v>
      </c>
      <c r="AL19" s="34"/>
      <c r="AM19" s="25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</row>
    <row r="20" spans="1:36" s="42" customFormat="1" ht="12">
      <c r="A20" s="39"/>
      <c r="B20" s="39" t="s">
        <v>89</v>
      </c>
      <c r="C20" s="40">
        <f>SUM(C16)</f>
        <v>5510455.81</v>
      </c>
      <c r="D20" s="41">
        <f t="shared" si="9"/>
        <v>15243630.63</v>
      </c>
      <c r="E20" s="40">
        <f>SUM(E19,E18)</f>
        <v>3476063.3100000005</v>
      </c>
      <c r="F20" s="40">
        <f aca="true" t="shared" si="10" ref="F20:AD20">SUM(F19,F18)</f>
        <v>65735.51999999999</v>
      </c>
      <c r="G20" s="40">
        <f t="shared" si="10"/>
        <v>457830.75</v>
      </c>
      <c r="H20" s="40">
        <f t="shared" si="10"/>
        <v>118127.39</v>
      </c>
      <c r="I20" s="40">
        <f t="shared" si="10"/>
        <v>288504.65</v>
      </c>
      <c r="J20" s="40">
        <f t="shared" si="10"/>
        <v>398777.61000000004</v>
      </c>
      <c r="K20" s="40">
        <f t="shared" si="10"/>
        <v>1621425.0699999998</v>
      </c>
      <c r="L20" s="40">
        <f t="shared" si="10"/>
        <v>2310136.63</v>
      </c>
      <c r="M20" s="40">
        <f t="shared" si="10"/>
        <v>2460499.49</v>
      </c>
      <c r="N20" s="40">
        <f t="shared" si="10"/>
        <v>3718591.47</v>
      </c>
      <c r="O20" s="40">
        <f t="shared" si="10"/>
        <v>0</v>
      </c>
      <c r="P20" s="40">
        <f t="shared" si="10"/>
        <v>143788.16</v>
      </c>
      <c r="Q20" s="40">
        <f t="shared" si="10"/>
        <v>184150.58</v>
      </c>
      <c r="R20" s="40">
        <f t="shared" si="10"/>
        <v>42034.9</v>
      </c>
      <c r="S20" s="40">
        <f t="shared" si="10"/>
        <v>311468.73</v>
      </c>
      <c r="T20" s="40">
        <f t="shared" si="10"/>
        <v>21545246.6</v>
      </c>
      <c r="U20" s="40">
        <f t="shared" si="10"/>
        <v>5394203.33</v>
      </c>
      <c r="V20" s="40">
        <f t="shared" si="10"/>
        <v>3287246.8599999994</v>
      </c>
      <c r="W20" s="40">
        <f t="shared" si="10"/>
        <v>12863796.410000002</v>
      </c>
      <c r="X20" s="40">
        <f t="shared" si="10"/>
        <v>0</v>
      </c>
      <c r="Y20" s="40">
        <f t="shared" si="10"/>
        <v>0</v>
      </c>
      <c r="Z20" s="40">
        <f t="shared" si="10"/>
        <v>0</v>
      </c>
      <c r="AA20" s="40">
        <f t="shared" si="10"/>
        <v>0</v>
      </c>
      <c r="AB20" s="40">
        <f t="shared" si="10"/>
        <v>0</v>
      </c>
      <c r="AC20" s="40">
        <f t="shared" si="10"/>
        <v>25760</v>
      </c>
      <c r="AD20" s="40">
        <f t="shared" si="10"/>
        <v>0</v>
      </c>
      <c r="AE20" s="40">
        <f>SUM(AE19,AE18)</f>
        <v>127825.16000000002</v>
      </c>
      <c r="AF20" s="40">
        <f>SUM(AF19,AF18)</f>
        <v>14420.619999999999</v>
      </c>
      <c r="AG20" s="40">
        <f>SUM(AG19,AG18)</f>
        <v>0</v>
      </c>
      <c r="AH20" s="40">
        <f>SUM(AH19,AH18)</f>
        <v>37310386.64</v>
      </c>
      <c r="AI20" s="40">
        <f>SUM(AI19,AI18)</f>
        <v>37193337.74</v>
      </c>
      <c r="AJ20" s="43">
        <f t="shared" si="2"/>
        <v>5627504.710000001</v>
      </c>
    </row>
    <row r="21" spans="1:62" s="15" customFormat="1" ht="12.75">
      <c r="A21" s="10" t="s">
        <v>81</v>
      </c>
      <c r="B21" s="10" t="s">
        <v>26</v>
      </c>
      <c r="C21" s="13">
        <f>SUM(AJ19)</f>
        <v>5627504.709999997</v>
      </c>
      <c r="D21" s="13">
        <f t="shared" si="9"/>
        <v>2008510.6199999999</v>
      </c>
      <c r="E21" s="11">
        <v>402119.78</v>
      </c>
      <c r="F21" s="11">
        <v>9090.13</v>
      </c>
      <c r="G21" s="11">
        <v>61607.86</v>
      </c>
      <c r="H21" s="11">
        <v>14808.26</v>
      </c>
      <c r="I21" s="11">
        <v>38725.57</v>
      </c>
      <c r="J21" s="11">
        <v>53469.92</v>
      </c>
      <c r="K21" s="11">
        <v>217681.24</v>
      </c>
      <c r="L21" s="11">
        <v>300521.41</v>
      </c>
      <c r="M21" s="11">
        <v>334542.69</v>
      </c>
      <c r="N21" s="11">
        <v>466118.62</v>
      </c>
      <c r="O21" s="11"/>
      <c r="P21" s="11">
        <v>19761.93</v>
      </c>
      <c r="Q21" s="11">
        <v>90063.21</v>
      </c>
      <c r="R21" s="11">
        <v>3274.08</v>
      </c>
      <c r="S21" s="11">
        <v>40444.75</v>
      </c>
      <c r="T21" s="11">
        <v>1159110.27</v>
      </c>
      <c r="U21" s="11">
        <v>725679.25</v>
      </c>
      <c r="V21" s="11">
        <v>433431.02</v>
      </c>
      <c r="W21" s="11"/>
      <c r="X21" s="11"/>
      <c r="Y21" s="11"/>
      <c r="Z21" s="11"/>
      <c r="AA21" s="11"/>
      <c r="AB21" s="11"/>
      <c r="AC21" s="11">
        <v>3520</v>
      </c>
      <c r="AD21" s="11"/>
      <c r="AE21" s="11">
        <v>16575.02</v>
      </c>
      <c r="AF21" s="11">
        <v>1782</v>
      </c>
      <c r="AG21" s="11"/>
      <c r="AH21" s="11">
        <v>3233216.74</v>
      </c>
      <c r="AI21" s="11">
        <v>3469117.44</v>
      </c>
      <c r="AJ21" s="11">
        <f t="shared" si="2"/>
        <v>5391604.009999998</v>
      </c>
      <c r="AL21" s="34"/>
      <c r="AM21" s="25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1:36" s="42" customFormat="1" ht="12">
      <c r="A22" s="39"/>
      <c r="B22" s="39" t="s">
        <v>91</v>
      </c>
      <c r="C22" s="40">
        <f>SUM(C18)</f>
        <v>5510455.81</v>
      </c>
      <c r="D22" s="41">
        <f t="shared" si="9"/>
        <v>17252141.25</v>
      </c>
      <c r="E22" s="40">
        <f>SUM(E21,E20)</f>
        <v>3878183.090000001</v>
      </c>
      <c r="F22" s="40">
        <f aca="true" t="shared" si="11" ref="F22:AD22">SUM(F21,F20)</f>
        <v>74825.65</v>
      </c>
      <c r="G22" s="40">
        <f t="shared" si="11"/>
        <v>519438.61</v>
      </c>
      <c r="H22" s="40">
        <f t="shared" si="11"/>
        <v>132935.65</v>
      </c>
      <c r="I22" s="40">
        <f t="shared" si="11"/>
        <v>327230.22000000003</v>
      </c>
      <c r="J22" s="40">
        <f t="shared" si="11"/>
        <v>452247.53</v>
      </c>
      <c r="K22" s="40">
        <f t="shared" si="11"/>
        <v>1839106.3099999998</v>
      </c>
      <c r="L22" s="40">
        <f t="shared" si="11"/>
        <v>2610658.04</v>
      </c>
      <c r="M22" s="40">
        <f t="shared" si="11"/>
        <v>2795042.18</v>
      </c>
      <c r="N22" s="40">
        <f t="shared" si="11"/>
        <v>4184710.0900000003</v>
      </c>
      <c r="O22" s="40">
        <f t="shared" si="11"/>
        <v>0</v>
      </c>
      <c r="P22" s="40">
        <f t="shared" si="11"/>
        <v>163550.09</v>
      </c>
      <c r="Q22" s="40">
        <f t="shared" si="11"/>
        <v>274213.79</v>
      </c>
      <c r="R22" s="40">
        <f t="shared" si="11"/>
        <v>45308.98</v>
      </c>
      <c r="S22" s="40">
        <f t="shared" si="11"/>
        <v>351913.48</v>
      </c>
      <c r="T22" s="40">
        <f t="shared" si="11"/>
        <v>22704356.87</v>
      </c>
      <c r="U22" s="40">
        <f t="shared" si="11"/>
        <v>6119882.58</v>
      </c>
      <c r="V22" s="40">
        <f t="shared" si="11"/>
        <v>3720677.8799999994</v>
      </c>
      <c r="W22" s="40">
        <f t="shared" si="11"/>
        <v>12863796.410000002</v>
      </c>
      <c r="X22" s="40">
        <f t="shared" si="11"/>
        <v>0</v>
      </c>
      <c r="Y22" s="40">
        <f t="shared" si="11"/>
        <v>0</v>
      </c>
      <c r="Z22" s="40">
        <f t="shared" si="11"/>
        <v>0</v>
      </c>
      <c r="AA22" s="40">
        <f t="shared" si="11"/>
        <v>0</v>
      </c>
      <c r="AB22" s="40">
        <f t="shared" si="11"/>
        <v>0</v>
      </c>
      <c r="AC22" s="40">
        <f t="shared" si="11"/>
        <v>29280</v>
      </c>
      <c r="AD22" s="40">
        <f t="shared" si="11"/>
        <v>0</v>
      </c>
      <c r="AE22" s="40">
        <f>SUM(AE21,AE20)</f>
        <v>144400.18000000002</v>
      </c>
      <c r="AF22" s="40">
        <f>SUM(AF21,AF20)</f>
        <v>16202.619999999999</v>
      </c>
      <c r="AG22" s="40">
        <f>SUM(AG21,AG20)</f>
        <v>0</v>
      </c>
      <c r="AH22" s="40">
        <f>SUM(AH21,AH20)</f>
        <v>40543603.38</v>
      </c>
      <c r="AI22" s="40">
        <f>SUM(AI21,AI20)</f>
        <v>40662455.18</v>
      </c>
      <c r="AJ22" s="43">
        <f t="shared" si="2"/>
        <v>5391604.010000005</v>
      </c>
    </row>
    <row r="23" spans="1:62" s="15" customFormat="1" ht="12.75">
      <c r="A23" s="10" t="s">
        <v>82</v>
      </c>
      <c r="B23" s="10" t="s">
        <v>26</v>
      </c>
      <c r="C23" s="13">
        <f>SUM(AJ21)</f>
        <v>5391604.009999998</v>
      </c>
      <c r="D23" s="13">
        <f t="shared" si="9"/>
        <v>2007313.02</v>
      </c>
      <c r="E23" s="11">
        <v>401123.38</v>
      </c>
      <c r="F23" s="11">
        <v>9090.08</v>
      </c>
      <c r="G23" s="11">
        <v>61608.41</v>
      </c>
      <c r="H23" s="11">
        <v>14808.17</v>
      </c>
      <c r="I23" s="11">
        <v>38725.33</v>
      </c>
      <c r="J23" s="11">
        <v>53470.12</v>
      </c>
      <c r="K23" s="11">
        <v>217679.89</v>
      </c>
      <c r="L23" s="11">
        <v>300502.31</v>
      </c>
      <c r="M23" s="11">
        <v>334545.61</v>
      </c>
      <c r="N23" s="11">
        <v>466123.02</v>
      </c>
      <c r="O23" s="11"/>
      <c r="P23" s="11">
        <v>19762.11</v>
      </c>
      <c r="Q23" s="11">
        <v>89874.59</v>
      </c>
      <c r="R23" s="11">
        <v>10256.61</v>
      </c>
      <c r="S23" s="11">
        <v>40444.75</v>
      </c>
      <c r="T23" s="11">
        <v>3250294.1</v>
      </c>
      <c r="U23" s="11">
        <v>731693.2</v>
      </c>
      <c r="V23" s="11">
        <v>437954.31</v>
      </c>
      <c r="W23" s="11">
        <v>2080646.59</v>
      </c>
      <c r="X23" s="11"/>
      <c r="Y23" s="11"/>
      <c r="Z23" s="11"/>
      <c r="AA23" s="11"/>
      <c r="AB23" s="11"/>
      <c r="AC23" s="11">
        <v>3520</v>
      </c>
      <c r="AD23" s="11"/>
      <c r="AE23" s="11">
        <v>16950.02</v>
      </c>
      <c r="AF23" s="11">
        <v>1782</v>
      </c>
      <c r="AG23" s="11"/>
      <c r="AH23" s="11">
        <v>5330560.5</v>
      </c>
      <c r="AI23" s="11">
        <v>3896565.17</v>
      </c>
      <c r="AJ23" s="11">
        <f t="shared" si="2"/>
        <v>6825599.339999998</v>
      </c>
      <c r="AL23" s="34"/>
      <c r="AM23" s="25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</row>
    <row r="24" spans="1:36" s="42" customFormat="1" ht="12">
      <c r="A24" s="39"/>
      <c r="B24" s="39" t="s">
        <v>93</v>
      </c>
      <c r="C24" s="40">
        <f>SUM(C20)</f>
        <v>5510455.81</v>
      </c>
      <c r="D24" s="41">
        <f t="shared" si="9"/>
        <v>19259454.27</v>
      </c>
      <c r="E24" s="40">
        <f>SUM(E23,E22)</f>
        <v>4279306.470000001</v>
      </c>
      <c r="F24" s="40">
        <f aca="true" t="shared" si="12" ref="F24:AD24">SUM(F23,F22)</f>
        <v>83915.73</v>
      </c>
      <c r="G24" s="40">
        <f t="shared" si="12"/>
        <v>581047.02</v>
      </c>
      <c r="H24" s="40">
        <f t="shared" si="12"/>
        <v>147743.82</v>
      </c>
      <c r="I24" s="40">
        <f t="shared" si="12"/>
        <v>365955.55000000005</v>
      </c>
      <c r="J24" s="40">
        <f t="shared" si="12"/>
        <v>505717.65</v>
      </c>
      <c r="K24" s="40">
        <f t="shared" si="12"/>
        <v>2056786.1999999997</v>
      </c>
      <c r="L24" s="40">
        <f t="shared" si="12"/>
        <v>2911160.35</v>
      </c>
      <c r="M24" s="40">
        <f t="shared" si="12"/>
        <v>3129587.79</v>
      </c>
      <c r="N24" s="40">
        <f t="shared" si="12"/>
        <v>4650833.11</v>
      </c>
      <c r="O24" s="40">
        <f t="shared" si="12"/>
        <v>0</v>
      </c>
      <c r="P24" s="40">
        <f t="shared" si="12"/>
        <v>183312.2</v>
      </c>
      <c r="Q24" s="40">
        <f t="shared" si="12"/>
        <v>364088.38</v>
      </c>
      <c r="R24" s="40">
        <f t="shared" si="12"/>
        <v>55565.590000000004</v>
      </c>
      <c r="S24" s="40">
        <f t="shared" si="12"/>
        <v>392358.23</v>
      </c>
      <c r="T24" s="40">
        <f t="shared" si="12"/>
        <v>25954650.970000003</v>
      </c>
      <c r="U24" s="40">
        <f t="shared" si="12"/>
        <v>6851575.78</v>
      </c>
      <c r="V24" s="40">
        <f t="shared" si="12"/>
        <v>4158632.1899999995</v>
      </c>
      <c r="W24" s="40">
        <f t="shared" si="12"/>
        <v>14944443.000000002</v>
      </c>
      <c r="X24" s="40">
        <f t="shared" si="12"/>
        <v>0</v>
      </c>
      <c r="Y24" s="40">
        <f t="shared" si="12"/>
        <v>0</v>
      </c>
      <c r="Z24" s="40">
        <f t="shared" si="12"/>
        <v>0</v>
      </c>
      <c r="AA24" s="40">
        <f t="shared" si="12"/>
        <v>0</v>
      </c>
      <c r="AB24" s="40">
        <f t="shared" si="12"/>
        <v>0</v>
      </c>
      <c r="AC24" s="40">
        <f t="shared" si="12"/>
        <v>32800</v>
      </c>
      <c r="AD24" s="40">
        <f t="shared" si="12"/>
        <v>0</v>
      </c>
      <c r="AE24" s="40">
        <f>SUM(AE23,AE22)</f>
        <v>161350.2</v>
      </c>
      <c r="AF24" s="40">
        <f>SUM(AF23,AF22)</f>
        <v>17984.62</v>
      </c>
      <c r="AG24" s="40">
        <f>SUM(AG23,AG22)</f>
        <v>0</v>
      </c>
      <c r="AH24" s="40">
        <f>SUM(AH23,AH22)</f>
        <v>45874163.88</v>
      </c>
      <c r="AI24" s="40">
        <f>SUM(AI23,AI22)</f>
        <v>44559020.35</v>
      </c>
      <c r="AJ24" s="43">
        <f t="shared" si="2"/>
        <v>6825599.340000004</v>
      </c>
    </row>
    <row r="25" spans="1:62" s="15" customFormat="1" ht="12.75">
      <c r="A25" s="10" t="s">
        <v>83</v>
      </c>
      <c r="B25" s="10" t="s">
        <v>26</v>
      </c>
      <c r="C25" s="13">
        <f>SUM(AJ23)</f>
        <v>6825599.339999998</v>
      </c>
      <c r="D25" s="13">
        <f t="shared" si="9"/>
        <v>2008313.3100000003</v>
      </c>
      <c r="E25" s="11">
        <v>402118.39</v>
      </c>
      <c r="F25" s="11">
        <v>9090.08</v>
      </c>
      <c r="G25" s="11">
        <v>61607.65</v>
      </c>
      <c r="H25" s="11">
        <v>14808.17</v>
      </c>
      <c r="I25" s="11">
        <v>38725.33</v>
      </c>
      <c r="J25" s="11">
        <v>53469.73</v>
      </c>
      <c r="K25" s="11">
        <v>217679.89</v>
      </c>
      <c r="L25" s="11">
        <v>300378.08</v>
      </c>
      <c r="M25" s="11">
        <v>334541.54</v>
      </c>
      <c r="N25" s="11">
        <v>466117.02</v>
      </c>
      <c r="O25" s="11"/>
      <c r="P25" s="11">
        <v>19761.86</v>
      </c>
      <c r="Q25" s="11">
        <v>90015.57</v>
      </c>
      <c r="R25" s="11">
        <v>3293.65</v>
      </c>
      <c r="S25" s="11">
        <v>40444.75</v>
      </c>
      <c r="T25" s="11">
        <v>4724338.49</v>
      </c>
      <c r="U25" s="11">
        <v>756521.06</v>
      </c>
      <c r="V25" s="11">
        <v>448037.31</v>
      </c>
      <c r="W25" s="11">
        <v>3519780.12</v>
      </c>
      <c r="X25" s="11"/>
      <c r="Y25" s="11"/>
      <c r="Z25" s="11"/>
      <c r="AA25" s="11"/>
      <c r="AB25" s="11"/>
      <c r="AC25" s="11">
        <v>3440</v>
      </c>
      <c r="AD25" s="11"/>
      <c r="AE25" s="11">
        <v>16950.02</v>
      </c>
      <c r="AF25" s="11">
        <v>1782</v>
      </c>
      <c r="AG25" s="11"/>
      <c r="AH25" s="11">
        <v>6798562.22</v>
      </c>
      <c r="AI25" s="11">
        <v>5036411.97</v>
      </c>
      <c r="AJ25" s="11">
        <f>SUM(C25+AH25-AI25)</f>
        <v>8587749.59</v>
      </c>
      <c r="AL25" s="34"/>
      <c r="AM25" s="25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</row>
    <row r="26" spans="1:36" s="42" customFormat="1" ht="12">
      <c r="A26" s="39"/>
      <c r="B26" s="39" t="s">
        <v>94</v>
      </c>
      <c r="C26" s="40">
        <f>SUM(C22)</f>
        <v>5510455.81</v>
      </c>
      <c r="D26" s="41">
        <f>SUM(E26:Q26)</f>
        <v>21267767.58</v>
      </c>
      <c r="E26" s="40">
        <f>SUM(E25,E24)</f>
        <v>4681424.86</v>
      </c>
      <c r="F26" s="40">
        <f aca="true" t="shared" si="13" ref="F26:AD26">SUM(F25,F24)</f>
        <v>93005.81</v>
      </c>
      <c r="G26" s="40">
        <f t="shared" si="13"/>
        <v>642654.67</v>
      </c>
      <c r="H26" s="40">
        <f t="shared" si="13"/>
        <v>162551.99000000002</v>
      </c>
      <c r="I26" s="40">
        <f t="shared" si="13"/>
        <v>404680.88000000006</v>
      </c>
      <c r="J26" s="40">
        <f t="shared" si="13"/>
        <v>559187.38</v>
      </c>
      <c r="K26" s="40">
        <f t="shared" si="13"/>
        <v>2274466.09</v>
      </c>
      <c r="L26" s="40">
        <f t="shared" si="13"/>
        <v>3211538.43</v>
      </c>
      <c r="M26" s="40">
        <f t="shared" si="13"/>
        <v>3464129.33</v>
      </c>
      <c r="N26" s="40">
        <f t="shared" si="13"/>
        <v>5116950.130000001</v>
      </c>
      <c r="O26" s="40">
        <f t="shared" si="13"/>
        <v>0</v>
      </c>
      <c r="P26" s="40">
        <f t="shared" si="13"/>
        <v>203074.06</v>
      </c>
      <c r="Q26" s="40">
        <f t="shared" si="13"/>
        <v>454103.95</v>
      </c>
      <c r="R26" s="40">
        <f t="shared" si="13"/>
        <v>58859.240000000005</v>
      </c>
      <c r="S26" s="40">
        <f t="shared" si="13"/>
        <v>432802.98</v>
      </c>
      <c r="T26" s="40">
        <f t="shared" si="13"/>
        <v>30678989.46</v>
      </c>
      <c r="U26" s="40">
        <f t="shared" si="13"/>
        <v>7608096.84</v>
      </c>
      <c r="V26" s="40">
        <f t="shared" si="13"/>
        <v>4606669.499999999</v>
      </c>
      <c r="W26" s="40">
        <f t="shared" si="13"/>
        <v>18464223.12</v>
      </c>
      <c r="X26" s="40">
        <f t="shared" si="13"/>
        <v>0</v>
      </c>
      <c r="Y26" s="40">
        <f t="shared" si="13"/>
        <v>0</v>
      </c>
      <c r="Z26" s="40">
        <f t="shared" si="13"/>
        <v>0</v>
      </c>
      <c r="AA26" s="40">
        <f t="shared" si="13"/>
        <v>0</v>
      </c>
      <c r="AB26" s="40">
        <f t="shared" si="13"/>
        <v>0</v>
      </c>
      <c r="AC26" s="40">
        <f t="shared" si="13"/>
        <v>36240</v>
      </c>
      <c r="AD26" s="40">
        <f t="shared" si="13"/>
        <v>0</v>
      </c>
      <c r="AE26" s="40">
        <f>SUM(AE25,AE24)</f>
        <v>178300.22</v>
      </c>
      <c r="AF26" s="40">
        <f>SUM(AF25,AF24)</f>
        <v>19766.62</v>
      </c>
      <c r="AG26" s="40">
        <f>SUM(AG25,AG24)</f>
        <v>0</v>
      </c>
      <c r="AH26" s="40">
        <f>SUM(AH25,AH24)</f>
        <v>52672726.1</v>
      </c>
      <c r="AI26" s="40">
        <f>SUM(AI25,AI24)</f>
        <v>49595432.32</v>
      </c>
      <c r="AJ26" s="43">
        <f>SUM(C26+AH26-AI26)</f>
        <v>8587749.590000004</v>
      </c>
    </row>
    <row r="27" spans="1:62" s="15" customFormat="1" ht="12.75">
      <c r="A27" s="10" t="s">
        <v>84</v>
      </c>
      <c r="B27" s="10" t="s">
        <v>26</v>
      </c>
      <c r="C27" s="13">
        <f>SUM(AJ25)</f>
        <v>8587749.59</v>
      </c>
      <c r="D27" s="13">
        <f t="shared" si="9"/>
        <v>2008074.6199999999</v>
      </c>
      <c r="E27" s="11">
        <v>402115.52</v>
      </c>
      <c r="F27" s="11">
        <v>9090.01</v>
      </c>
      <c r="G27" s="11">
        <v>61607.21</v>
      </c>
      <c r="H27" s="11">
        <v>14808.06</v>
      </c>
      <c r="I27" s="11">
        <v>38725.05</v>
      </c>
      <c r="J27" s="11">
        <v>53469.73</v>
      </c>
      <c r="K27" s="11">
        <v>217678.3</v>
      </c>
      <c r="L27" s="11">
        <v>300151.25</v>
      </c>
      <c r="M27" s="11">
        <v>334539.17</v>
      </c>
      <c r="N27" s="11">
        <v>466113.69</v>
      </c>
      <c r="O27" s="11"/>
      <c r="P27" s="11">
        <v>19761.72</v>
      </c>
      <c r="Q27" s="11">
        <v>90014.91</v>
      </c>
      <c r="R27" s="11">
        <v>8576.71</v>
      </c>
      <c r="S27" s="11">
        <v>39924.7</v>
      </c>
      <c r="T27" s="11">
        <v>4700807.17</v>
      </c>
      <c r="U27" s="11">
        <v>734700.12</v>
      </c>
      <c r="V27" s="11">
        <v>441191.56</v>
      </c>
      <c r="W27" s="11">
        <v>3524915.49</v>
      </c>
      <c r="X27" s="11"/>
      <c r="Y27" s="11"/>
      <c r="Z27" s="11"/>
      <c r="AA27" s="11"/>
      <c r="AB27" s="11"/>
      <c r="AC27" s="11">
        <v>3440</v>
      </c>
      <c r="AD27" s="11"/>
      <c r="AE27" s="11">
        <v>17625.02</v>
      </c>
      <c r="AF27" s="11">
        <v>1782</v>
      </c>
      <c r="AG27" s="11"/>
      <c r="AH27" s="11">
        <v>6780230.22</v>
      </c>
      <c r="AI27" s="11">
        <v>9379768.37</v>
      </c>
      <c r="AJ27" s="11">
        <f>SUM(C27+AH27-AI27)</f>
        <v>5988211.4399999995</v>
      </c>
      <c r="AL27" s="34"/>
      <c r="AM27" s="25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1:36" s="42" customFormat="1" ht="12">
      <c r="A28" s="39"/>
      <c r="B28" s="39" t="s">
        <v>95</v>
      </c>
      <c r="C28" s="40">
        <f>SUM(C24)</f>
        <v>5510455.81</v>
      </c>
      <c r="D28" s="41">
        <f>SUM(E28:Q28)</f>
        <v>23275842.200000003</v>
      </c>
      <c r="E28" s="40">
        <f>SUM(E27,E26)</f>
        <v>5083540.380000001</v>
      </c>
      <c r="F28" s="40">
        <f aca="true" t="shared" si="14" ref="F28:AD28">SUM(F27,F26)</f>
        <v>102095.81999999999</v>
      </c>
      <c r="G28" s="40">
        <f t="shared" si="14"/>
        <v>704261.88</v>
      </c>
      <c r="H28" s="40">
        <f t="shared" si="14"/>
        <v>177360.05000000002</v>
      </c>
      <c r="I28" s="40">
        <f t="shared" si="14"/>
        <v>443405.93000000005</v>
      </c>
      <c r="J28" s="40">
        <f t="shared" si="14"/>
        <v>612657.11</v>
      </c>
      <c r="K28" s="40">
        <f t="shared" si="14"/>
        <v>2492144.3899999997</v>
      </c>
      <c r="L28" s="40">
        <f t="shared" si="14"/>
        <v>3511689.68</v>
      </c>
      <c r="M28" s="40">
        <f t="shared" si="14"/>
        <v>3798668.5</v>
      </c>
      <c r="N28" s="40">
        <f t="shared" si="14"/>
        <v>5583063.820000001</v>
      </c>
      <c r="O28" s="40">
        <f t="shared" si="14"/>
        <v>0</v>
      </c>
      <c r="P28" s="40">
        <f t="shared" si="14"/>
        <v>222835.78</v>
      </c>
      <c r="Q28" s="40">
        <f t="shared" si="14"/>
        <v>544118.86</v>
      </c>
      <c r="R28" s="40">
        <f t="shared" si="14"/>
        <v>67435.95000000001</v>
      </c>
      <c r="S28" s="40">
        <f t="shared" si="14"/>
        <v>472727.68</v>
      </c>
      <c r="T28" s="40">
        <f t="shared" si="14"/>
        <v>35379796.63</v>
      </c>
      <c r="U28" s="40">
        <f t="shared" si="14"/>
        <v>8342796.96</v>
      </c>
      <c r="V28" s="40">
        <f t="shared" si="14"/>
        <v>5047861.059999999</v>
      </c>
      <c r="W28" s="40">
        <f t="shared" si="14"/>
        <v>21989138.61</v>
      </c>
      <c r="X28" s="40">
        <f t="shared" si="14"/>
        <v>0</v>
      </c>
      <c r="Y28" s="40">
        <f t="shared" si="14"/>
        <v>0</v>
      </c>
      <c r="Z28" s="40">
        <f t="shared" si="14"/>
        <v>0</v>
      </c>
      <c r="AA28" s="40">
        <f t="shared" si="14"/>
        <v>0</v>
      </c>
      <c r="AB28" s="40">
        <f t="shared" si="14"/>
        <v>0</v>
      </c>
      <c r="AC28" s="40">
        <f t="shared" si="14"/>
        <v>39680</v>
      </c>
      <c r="AD28" s="40">
        <f t="shared" si="14"/>
        <v>0</v>
      </c>
      <c r="AE28" s="40">
        <f>SUM(AE27,AE26)</f>
        <v>195925.24</v>
      </c>
      <c r="AF28" s="40">
        <f>SUM(AF27,AF26)</f>
        <v>21548.62</v>
      </c>
      <c r="AG28" s="40">
        <f>SUM(AG27,AG26)</f>
        <v>0</v>
      </c>
      <c r="AH28" s="40">
        <f>SUM(AH27,AH26)</f>
        <v>59452956.32</v>
      </c>
      <c r="AI28" s="40">
        <f>SUM(AI27,AI26)</f>
        <v>58975200.69</v>
      </c>
      <c r="AJ28" s="43">
        <f>SUM(C28+AH28-AI28)</f>
        <v>5988211.440000005</v>
      </c>
    </row>
    <row r="30" ht="12.75">
      <c r="AI30" s="34">
        <f>SUM(AI28/AH28)</f>
        <v>0.9919641400601086</v>
      </c>
    </row>
  </sheetData>
  <sheetProtection/>
  <mergeCells count="17">
    <mergeCell ref="AF3:AF4"/>
    <mergeCell ref="AG3:AG4"/>
    <mergeCell ref="AH3:AH4"/>
    <mergeCell ref="AI3:AI4"/>
    <mergeCell ref="AJ3:AJ4"/>
    <mergeCell ref="S3:S4"/>
    <mergeCell ref="T3:T4"/>
    <mergeCell ref="U3:AB3"/>
    <mergeCell ref="AC3:AC4"/>
    <mergeCell ref="AD3:AD4"/>
    <mergeCell ref="AE3:AE4"/>
    <mergeCell ref="A3:A4"/>
    <mergeCell ref="B3:B4"/>
    <mergeCell ref="C3:C4"/>
    <mergeCell ref="D3:D4"/>
    <mergeCell ref="E3:Q3"/>
    <mergeCell ref="R3:R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B16">
      <selection activeCell="S12" sqref="S12"/>
    </sheetView>
  </sheetViews>
  <sheetFormatPr defaultColWidth="9.140625" defaultRowHeight="12.75"/>
  <cols>
    <col min="1" max="1" width="21.7109375" style="0" customWidth="1"/>
    <col min="2" max="4" width="7.00390625" style="0" customWidth="1"/>
    <col min="5" max="5" width="7.57421875" style="0" customWidth="1"/>
    <col min="6" max="6" width="6.7109375" style="0" customWidth="1"/>
    <col min="7" max="7" width="5.140625" style="0" hidden="1" customWidth="1"/>
    <col min="8" max="8" width="4.8515625" style="0" hidden="1" customWidth="1"/>
    <col min="9" max="9" width="8.140625" style="0" customWidth="1"/>
    <col min="10" max="11" width="7.8515625" style="0" customWidth="1"/>
    <col min="12" max="12" width="7.710937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7.57421875" style="0" customWidth="1"/>
    <col min="17" max="17" width="6.140625" style="0" customWidth="1"/>
    <col min="18" max="18" width="6.7109375" style="0" customWidth="1"/>
    <col min="19" max="20" width="7.140625" style="0" customWidth="1"/>
  </cols>
  <sheetData>
    <row r="1" s="48" customFormat="1" ht="12.75">
      <c r="A1" s="48" t="s">
        <v>112</v>
      </c>
    </row>
    <row r="3" spans="1:20" s="2" customFormat="1" ht="75" customHeight="1">
      <c r="A3" s="107" t="s">
        <v>40</v>
      </c>
      <c r="B3" s="107" t="s">
        <v>41</v>
      </c>
      <c r="C3" s="107"/>
      <c r="D3" s="107"/>
      <c r="E3" s="107" t="s">
        <v>42</v>
      </c>
      <c r="F3" s="107"/>
      <c r="G3" s="107" t="s">
        <v>43</v>
      </c>
      <c r="H3" s="107"/>
      <c r="I3" s="107" t="s">
        <v>44</v>
      </c>
      <c r="J3" s="107"/>
      <c r="K3" s="107" t="s">
        <v>45</v>
      </c>
      <c r="L3" s="107"/>
      <c r="M3" s="107" t="s">
        <v>46</v>
      </c>
      <c r="N3" s="107"/>
      <c r="O3" s="107"/>
      <c r="P3" s="107" t="s">
        <v>47</v>
      </c>
      <c r="Q3" s="107"/>
      <c r="R3" s="107"/>
      <c r="S3" s="107" t="s">
        <v>64</v>
      </c>
      <c r="T3" s="107"/>
    </row>
    <row r="4" spans="1:20" s="2" customFormat="1" ht="25.5" customHeight="1">
      <c r="A4" s="107"/>
      <c r="B4" s="107" t="s">
        <v>33</v>
      </c>
      <c r="C4" s="107" t="s">
        <v>15</v>
      </c>
      <c r="D4" s="107"/>
      <c r="E4" s="108" t="s">
        <v>48</v>
      </c>
      <c r="F4" s="108" t="s">
        <v>49</v>
      </c>
      <c r="G4" s="108" t="s">
        <v>48</v>
      </c>
      <c r="H4" s="108" t="s">
        <v>49</v>
      </c>
      <c r="I4" s="108" t="s">
        <v>48</v>
      </c>
      <c r="J4" s="108" t="s">
        <v>49</v>
      </c>
      <c r="K4" s="108" t="s">
        <v>48</v>
      </c>
      <c r="L4" s="108" t="s">
        <v>49</v>
      </c>
      <c r="M4" s="107" t="s">
        <v>50</v>
      </c>
      <c r="N4" s="107"/>
      <c r="O4" s="108" t="s">
        <v>51</v>
      </c>
      <c r="P4" s="107" t="s">
        <v>33</v>
      </c>
      <c r="Q4" s="107" t="s">
        <v>15</v>
      </c>
      <c r="R4" s="107"/>
      <c r="S4" s="108" t="s">
        <v>62</v>
      </c>
      <c r="T4" s="108" t="s">
        <v>63</v>
      </c>
    </row>
    <row r="5" spans="1:20" s="2" customFormat="1" ht="103.5" customHeight="1">
      <c r="A5" s="107"/>
      <c r="B5" s="107"/>
      <c r="C5" s="22" t="s">
        <v>52</v>
      </c>
      <c r="D5" s="22" t="s">
        <v>53</v>
      </c>
      <c r="E5" s="108"/>
      <c r="F5" s="108"/>
      <c r="G5" s="108"/>
      <c r="H5" s="108"/>
      <c r="I5" s="108"/>
      <c r="J5" s="108"/>
      <c r="K5" s="108"/>
      <c r="L5" s="108"/>
      <c r="M5" s="1" t="s">
        <v>33</v>
      </c>
      <c r="N5" s="23" t="s">
        <v>54</v>
      </c>
      <c r="O5" s="108"/>
      <c r="P5" s="107"/>
      <c r="Q5" s="22" t="s">
        <v>52</v>
      </c>
      <c r="R5" s="22" t="s">
        <v>53</v>
      </c>
      <c r="S5" s="108"/>
      <c r="T5" s="108"/>
    </row>
    <row r="6" spans="1:20" s="3" customFormat="1" ht="12.75">
      <c r="A6" s="21" t="s">
        <v>55</v>
      </c>
      <c r="B6" s="26">
        <f aca="true" t="shared" si="0" ref="B6:B11">SUM(C6:D6)</f>
        <v>2037.0782399999998</v>
      </c>
      <c r="C6" s="26">
        <v>1514.230997</v>
      </c>
      <c r="D6" s="27">
        <v>522.847243</v>
      </c>
      <c r="E6" s="27">
        <f>SUM(E12-E7)</f>
        <v>2073.5895899999996</v>
      </c>
      <c r="F6" s="27">
        <f>SUM(F12-F7)</f>
        <v>2073.5895899999996</v>
      </c>
      <c r="G6" s="27">
        <v>0</v>
      </c>
      <c r="H6" s="27">
        <v>0</v>
      </c>
      <c r="I6" s="27">
        <f aca="true" t="shared" si="1" ref="I6:J12">SUM(E6-G6)</f>
        <v>2073.5895899999996</v>
      </c>
      <c r="J6" s="27">
        <f t="shared" si="1"/>
        <v>2073.5895899999996</v>
      </c>
      <c r="K6" s="27">
        <f aca="true" t="shared" si="2" ref="K6:K12">SUM(L6)</f>
        <v>1002.1639599999999</v>
      </c>
      <c r="L6" s="27">
        <f>SUM(L12-L7)</f>
        <v>1002.1639599999999</v>
      </c>
      <c r="M6" s="27">
        <f aca="true" t="shared" si="3" ref="M6:M12">SUM(K6)</f>
        <v>1002.1639599999999</v>
      </c>
      <c r="N6" s="27">
        <f>SUM(N12-N7)</f>
        <v>17.680289858221087</v>
      </c>
      <c r="O6" s="27">
        <f aca="true" t="shared" si="4" ref="O6:O12">SUM(L6)</f>
        <v>1002.1639599999999</v>
      </c>
      <c r="P6" s="27">
        <f aca="true" t="shared" si="5" ref="P6:P12">SUM(B6+E6-K6)</f>
        <v>3108.5038699999996</v>
      </c>
      <c r="Q6" s="27">
        <f>SUM(Q12-Q7)</f>
        <v>1593.465680652479</v>
      </c>
      <c r="R6" s="27">
        <f>SUM(R12-R7)</f>
        <v>1515.03818934752</v>
      </c>
      <c r="S6" s="38">
        <f>SUM(L6/E6)</f>
        <v>0.4832990890931315</v>
      </c>
      <c r="T6" s="38">
        <f>SUM(S6)</f>
        <v>0.4832990890931315</v>
      </c>
    </row>
    <row r="7" spans="1:20" s="3" customFormat="1" ht="38.25" customHeight="1">
      <c r="A7" s="21" t="s">
        <v>56</v>
      </c>
      <c r="B7" s="26">
        <f t="shared" si="0"/>
        <v>3951.1929099999998</v>
      </c>
      <c r="C7" s="27">
        <f>SUM(C8:C11)</f>
        <v>2937.0589019999998</v>
      </c>
      <c r="D7" s="27">
        <f>SUM(D8:D11)</f>
        <v>1014.134008</v>
      </c>
      <c r="E7" s="27">
        <f>SUM(F7)</f>
        <v>6857.73258</v>
      </c>
      <c r="F7" s="27">
        <f>SUM(F8:F11)</f>
        <v>6857.73258</v>
      </c>
      <c r="G7" s="27">
        <v>0</v>
      </c>
      <c r="H7" s="27">
        <v>0</v>
      </c>
      <c r="I7" s="27">
        <f t="shared" si="1"/>
        <v>6857.73258</v>
      </c>
      <c r="J7" s="27">
        <f t="shared" si="1"/>
        <v>6857.73258</v>
      </c>
      <c r="K7" s="27">
        <f t="shared" si="2"/>
        <v>2639.9694900000004</v>
      </c>
      <c r="L7" s="27">
        <f>SUM(L8:L11)</f>
        <v>2639.9694900000004</v>
      </c>
      <c r="M7" s="27">
        <f t="shared" si="3"/>
        <v>2639.9694900000004</v>
      </c>
      <c r="N7" s="27">
        <f>SUM(N12/M12)*M7</f>
        <v>46.574640141778914</v>
      </c>
      <c r="O7" s="27">
        <f t="shared" si="4"/>
        <v>2639.9694900000004</v>
      </c>
      <c r="P7" s="27">
        <f t="shared" si="5"/>
        <v>8168.955999999999</v>
      </c>
      <c r="Q7" s="27">
        <f>SUM(Q8:Q11)</f>
        <v>4187.529299347521</v>
      </c>
      <c r="R7" s="27">
        <f>SUM(R8:R11)</f>
        <v>3981.4267006524783</v>
      </c>
      <c r="S7" s="38">
        <f aca="true" t="shared" si="6" ref="S7:S12">SUM(L7/E7)</f>
        <v>0.38496244337366686</v>
      </c>
      <c r="T7" s="38">
        <f aca="true" t="shared" si="7" ref="T7:T12">SUM(S7)</f>
        <v>0.38496244337366686</v>
      </c>
    </row>
    <row r="8" spans="1:20" s="2" customFormat="1" ht="24.75" customHeight="1">
      <c r="A8" s="20" t="s">
        <v>57</v>
      </c>
      <c r="B8" s="29">
        <f t="shared" si="0"/>
        <v>983.69713</v>
      </c>
      <c r="C8" s="29">
        <v>731.216237</v>
      </c>
      <c r="D8" s="29">
        <v>252.480893</v>
      </c>
      <c r="E8" s="29">
        <f>SUM(F8)</f>
        <v>787.24374</v>
      </c>
      <c r="F8" s="29">
        <f>SUM('Начисл.2016'!U6)/1000</f>
        <v>787.24374</v>
      </c>
      <c r="G8" s="29">
        <v>0</v>
      </c>
      <c r="H8" s="29">
        <v>0</v>
      </c>
      <c r="I8" s="29">
        <f t="shared" si="1"/>
        <v>787.24374</v>
      </c>
      <c r="J8" s="29">
        <f t="shared" si="1"/>
        <v>787.24374</v>
      </c>
      <c r="K8" s="29">
        <f t="shared" si="2"/>
        <v>366.7715</v>
      </c>
      <c r="L8" s="29">
        <v>366.7715</v>
      </c>
      <c r="M8" s="29">
        <f t="shared" si="3"/>
        <v>366.7715</v>
      </c>
      <c r="N8" s="29">
        <f>SUM(N12/M12)*M8</f>
        <v>6.470624259661601</v>
      </c>
      <c r="O8" s="29">
        <f t="shared" si="4"/>
        <v>366.7715</v>
      </c>
      <c r="P8" s="29">
        <f t="shared" si="5"/>
        <v>1404.1693699999998</v>
      </c>
      <c r="Q8" s="29">
        <f>SUM(Q12/P12)*P8</f>
        <v>719.7982677494344</v>
      </c>
      <c r="R8" s="29">
        <f>SUM(R12/Q12)*Q8</f>
        <v>684.3711022505652</v>
      </c>
      <c r="S8" s="38">
        <f t="shared" si="6"/>
        <v>0.4658931933837924</v>
      </c>
      <c r="T8" s="38">
        <f t="shared" si="7"/>
        <v>0.4658931933837924</v>
      </c>
    </row>
    <row r="9" spans="1:20" s="2" customFormat="1" ht="18" customHeight="1">
      <c r="A9" s="20" t="s">
        <v>58</v>
      </c>
      <c r="B9" s="29">
        <f t="shared" si="0"/>
        <v>573.44926</v>
      </c>
      <c r="C9" s="29">
        <v>426.264749</v>
      </c>
      <c r="D9" s="29">
        <v>147.184511</v>
      </c>
      <c r="E9" s="29">
        <f>SUM(F9)</f>
        <v>446.20949</v>
      </c>
      <c r="F9" s="29">
        <f>SUM('Начисл.2016'!V6)/1000</f>
        <v>446.20949</v>
      </c>
      <c r="G9" s="29">
        <v>0</v>
      </c>
      <c r="H9" s="29">
        <v>0</v>
      </c>
      <c r="I9" s="29">
        <f t="shared" si="1"/>
        <v>446.20949</v>
      </c>
      <c r="J9" s="29">
        <f t="shared" si="1"/>
        <v>446.20949</v>
      </c>
      <c r="K9" s="29">
        <f t="shared" si="2"/>
        <v>211.9568</v>
      </c>
      <c r="L9" s="29">
        <v>211.9568</v>
      </c>
      <c r="M9" s="29">
        <f t="shared" si="3"/>
        <v>211.9568</v>
      </c>
      <c r="N9" s="29">
        <f>SUM(N12/M12)*M9</f>
        <v>3.7393658233538916</v>
      </c>
      <c r="O9" s="29">
        <f t="shared" si="4"/>
        <v>211.9568</v>
      </c>
      <c r="P9" s="29">
        <f t="shared" si="5"/>
        <v>807.7019500000001</v>
      </c>
      <c r="Q9" s="29">
        <f>SUM(Q12/P12)*P9</f>
        <v>414.040127130704</v>
      </c>
      <c r="R9" s="29">
        <f>SUM(R12/Q12)*Q9</f>
        <v>393.6618228692961</v>
      </c>
      <c r="S9" s="38">
        <f t="shared" si="6"/>
        <v>0.4750163426600362</v>
      </c>
      <c r="T9" s="38">
        <f t="shared" si="7"/>
        <v>0.4750163426600362</v>
      </c>
    </row>
    <row r="10" spans="1:20" s="2" customFormat="1" ht="18" customHeight="1">
      <c r="A10" s="20" t="s">
        <v>59</v>
      </c>
      <c r="B10" s="28">
        <f t="shared" si="0"/>
        <v>0</v>
      </c>
      <c r="C10" s="28">
        <v>0</v>
      </c>
      <c r="D10" s="28">
        <v>0</v>
      </c>
      <c r="E10" s="29">
        <f>SUM(F10)</f>
        <v>0</v>
      </c>
      <c r="F10" s="29">
        <f>SUM('Начисл.2016'!Y6)/1000</f>
        <v>0</v>
      </c>
      <c r="G10" s="29">
        <v>0</v>
      </c>
      <c r="H10" s="29">
        <v>0</v>
      </c>
      <c r="I10" s="29">
        <f t="shared" si="1"/>
        <v>0</v>
      </c>
      <c r="J10" s="29">
        <f t="shared" si="1"/>
        <v>0</v>
      </c>
      <c r="K10" s="29">
        <f t="shared" si="2"/>
        <v>0</v>
      </c>
      <c r="L10" s="29">
        <v>0</v>
      </c>
      <c r="M10" s="29">
        <f t="shared" si="3"/>
        <v>0</v>
      </c>
      <c r="N10" s="29">
        <f>SUM(N12/M12)*M10</f>
        <v>0</v>
      </c>
      <c r="O10" s="29">
        <f t="shared" si="4"/>
        <v>0</v>
      </c>
      <c r="P10" s="29">
        <f t="shared" si="5"/>
        <v>0</v>
      </c>
      <c r="Q10" s="29">
        <f>SUM(Q12/P12)*P10</f>
        <v>0</v>
      </c>
      <c r="R10" s="29">
        <f>SUM(P10-Q10)</f>
        <v>0</v>
      </c>
      <c r="S10" s="38">
        <v>0</v>
      </c>
      <c r="T10" s="38">
        <v>0</v>
      </c>
    </row>
    <row r="11" spans="1:20" s="2" customFormat="1" ht="12.75" customHeight="1">
      <c r="A11" s="20" t="s">
        <v>60</v>
      </c>
      <c r="B11" s="29">
        <f t="shared" si="0"/>
        <v>2394.04652</v>
      </c>
      <c r="C11" s="29">
        <v>1779.577916</v>
      </c>
      <c r="D11" s="29">
        <v>614.468604</v>
      </c>
      <c r="E11" s="29">
        <f>SUM(F11)</f>
        <v>5624.27935</v>
      </c>
      <c r="F11" s="29">
        <f>SUM('Начисл.2016'!W6)/1000</f>
        <v>5624.27935</v>
      </c>
      <c r="G11" s="29">
        <v>0</v>
      </c>
      <c r="H11" s="29">
        <v>0</v>
      </c>
      <c r="I11" s="29">
        <f t="shared" si="1"/>
        <v>5624.27935</v>
      </c>
      <c r="J11" s="29">
        <f t="shared" si="1"/>
        <v>5624.27935</v>
      </c>
      <c r="K11" s="29">
        <f t="shared" si="2"/>
        <v>2061.24119</v>
      </c>
      <c r="L11" s="29">
        <v>2061.24119</v>
      </c>
      <c r="M11" s="29">
        <f t="shared" si="3"/>
        <v>2061.24119</v>
      </c>
      <c r="N11" s="29">
        <f>SUM(N12/M12)*M11</f>
        <v>36.36465005876342</v>
      </c>
      <c r="O11" s="29">
        <f t="shared" si="4"/>
        <v>2061.24119</v>
      </c>
      <c r="P11" s="29">
        <f t="shared" si="5"/>
        <v>5957.08468</v>
      </c>
      <c r="Q11" s="29">
        <f>SUM(Q12/P12)*P11</f>
        <v>3053.6909044673826</v>
      </c>
      <c r="R11" s="29">
        <f>SUM(R12/Q12)*Q11</f>
        <v>2903.393775532617</v>
      </c>
      <c r="S11" s="38">
        <f t="shared" si="6"/>
        <v>0.36648983127056095</v>
      </c>
      <c r="T11" s="38">
        <f t="shared" si="7"/>
        <v>0.36648983127056095</v>
      </c>
    </row>
    <row r="12" spans="1:20" s="3" customFormat="1" ht="12.75">
      <c r="A12" s="21" t="s">
        <v>61</v>
      </c>
      <c r="B12" s="26">
        <f>SUM(B6)+B7</f>
        <v>5988.27115</v>
      </c>
      <c r="C12" s="27">
        <f>SUM(C6)+C7</f>
        <v>4451.289898999999</v>
      </c>
      <c r="D12" s="27">
        <f>SUM(D6)+D7</f>
        <v>1536.9812510000002</v>
      </c>
      <c r="E12" s="27">
        <f>SUM('Начисл.2016'!AH6)/1000</f>
        <v>8931.32217</v>
      </c>
      <c r="F12" s="27">
        <f>SUM('Начисл.2016'!AH6)/1000</f>
        <v>8931.32217</v>
      </c>
      <c r="G12" s="27">
        <v>0</v>
      </c>
      <c r="H12" s="27">
        <v>0</v>
      </c>
      <c r="I12" s="27">
        <f t="shared" si="1"/>
        <v>8931.32217</v>
      </c>
      <c r="J12" s="27">
        <f t="shared" si="1"/>
        <v>8931.32217</v>
      </c>
      <c r="K12" s="27">
        <f t="shared" si="2"/>
        <v>3642.1334500000003</v>
      </c>
      <c r="L12" s="27">
        <f>SUM('Начисл.2016'!AI6)/1000</f>
        <v>3642.1334500000003</v>
      </c>
      <c r="M12" s="27">
        <f t="shared" si="3"/>
        <v>3642.1334500000003</v>
      </c>
      <c r="N12" s="27">
        <f>SUM(N35)</f>
        <v>64.25493</v>
      </c>
      <c r="O12" s="27">
        <f t="shared" si="4"/>
        <v>3642.1334500000003</v>
      </c>
      <c r="P12" s="27">
        <f t="shared" si="5"/>
        <v>11277.459869999999</v>
      </c>
      <c r="Q12" s="27">
        <f>SUM(Q32)</f>
        <v>5780.99498</v>
      </c>
      <c r="R12" s="27">
        <f>SUM(P12-Q12)</f>
        <v>5496.464889999998</v>
      </c>
      <c r="S12" s="38">
        <f t="shared" si="6"/>
        <v>0.40779331219668685</v>
      </c>
      <c r="T12" s="38">
        <f t="shared" si="7"/>
        <v>0.40779331219668685</v>
      </c>
    </row>
    <row r="14" ht="12.75">
      <c r="A14" t="s">
        <v>34</v>
      </c>
    </row>
    <row r="15" ht="12.75">
      <c r="A15" t="s">
        <v>35</v>
      </c>
    </row>
    <row r="23" ht="11.25" customHeight="1"/>
    <row r="24" ht="12.75" hidden="1"/>
    <row r="25" ht="12.75" hidden="1">
      <c r="N25">
        <v>64.25493</v>
      </c>
    </row>
    <row r="26" ht="12.75" hidden="1">
      <c r="N26">
        <v>0</v>
      </c>
    </row>
    <row r="27" ht="12.75" hidden="1">
      <c r="N27">
        <v>0</v>
      </c>
    </row>
    <row r="28" ht="12.75" hidden="1">
      <c r="N28">
        <v>0</v>
      </c>
    </row>
    <row r="29" ht="12.75" hidden="1">
      <c r="N29">
        <v>0</v>
      </c>
    </row>
    <row r="30" ht="12.75" hidden="1">
      <c r="N30">
        <v>0</v>
      </c>
    </row>
    <row r="31" ht="12.75" hidden="1">
      <c r="N31">
        <v>0</v>
      </c>
    </row>
    <row r="32" spans="2:19" ht="12.75" hidden="1">
      <c r="B32">
        <f>SUM(B7,B6)</f>
        <v>5988.27115</v>
      </c>
      <c r="C32" s="36">
        <f>SUM(C7,C6)</f>
        <v>4451.289898999999</v>
      </c>
      <c r="D32">
        <f>SUM(D7,D6)</f>
        <v>1536.9812510000002</v>
      </c>
      <c r="E32" s="30">
        <f>SUM(E8:E11,E6)</f>
        <v>8931.32217</v>
      </c>
      <c r="F32" s="30">
        <f>SUM(F8:F11,F6)</f>
        <v>8931.32217</v>
      </c>
      <c r="G32" s="31">
        <v>0</v>
      </c>
      <c r="H32" s="31">
        <v>0</v>
      </c>
      <c r="I32" s="30">
        <f>SUM(I8:I11,I6)</f>
        <v>8931.32217</v>
      </c>
      <c r="J32" s="30">
        <f>SUM(J8:J11,J6)</f>
        <v>8931.32217</v>
      </c>
      <c r="K32" s="30">
        <f>SUM(K8:K11,K6)</f>
        <v>3642.1334500000003</v>
      </c>
      <c r="L32" s="31">
        <f>SUM('Начисл.2016'!AI6)/1000</f>
        <v>3642.1334500000003</v>
      </c>
      <c r="M32" s="31">
        <f>SUM('Начисл.2016'!AI6)/1000</f>
        <v>3642.1334500000003</v>
      </c>
      <c r="N32" s="31">
        <v>0</v>
      </c>
      <c r="O32" s="31">
        <f>SUM('Начисл.2016'!AI6)/1000</f>
        <v>3642.1334500000003</v>
      </c>
      <c r="P32" s="33">
        <f>SUM('Начисл.2016'!AJ6)/1000</f>
        <v>11277.400160000001</v>
      </c>
      <c r="Q32" s="33">
        <f>SUM(T41)/1000</f>
        <v>5780.99498</v>
      </c>
      <c r="R32" s="33">
        <f>SUM(P12-Q12)</f>
        <v>5496.464889999998</v>
      </c>
      <c r="S32" s="31"/>
    </row>
    <row r="33" spans="2:19" ht="12.75" hidden="1">
      <c r="B33">
        <f>SUM(B8:B11,B6)</f>
        <v>5988.27115</v>
      </c>
      <c r="C33" s="36">
        <f>SUM(C8:C11,C6)</f>
        <v>4451.289898999999</v>
      </c>
      <c r="D33">
        <f>SUM(D8:D11,D6)</f>
        <v>1536.9812510000002</v>
      </c>
      <c r="E33" s="30">
        <f>SUM(E32-E12)</f>
        <v>0</v>
      </c>
      <c r="F33" s="30">
        <f>SUM(F32-F12)</f>
        <v>0</v>
      </c>
      <c r="G33" s="31">
        <v>0</v>
      </c>
      <c r="H33" s="31">
        <v>0</v>
      </c>
      <c r="I33" s="30">
        <f>SUM(I12-I32)</f>
        <v>0</v>
      </c>
      <c r="J33" s="30">
        <f aca="true" t="shared" si="8" ref="J33:R33">SUM(J12-J32)</f>
        <v>0</v>
      </c>
      <c r="K33" s="30">
        <f t="shared" si="8"/>
        <v>0</v>
      </c>
      <c r="L33" s="31"/>
      <c r="M33" s="30">
        <f t="shared" si="8"/>
        <v>0</v>
      </c>
      <c r="N33" s="31">
        <v>0</v>
      </c>
      <c r="O33" s="30">
        <f t="shared" si="8"/>
        <v>0</v>
      </c>
      <c r="P33" s="33">
        <f>SUM(P7,P6)-0.1</f>
        <v>11277.359869999998</v>
      </c>
      <c r="Q33" s="30">
        <f t="shared" si="8"/>
        <v>0</v>
      </c>
      <c r="R33" s="30">
        <f t="shared" si="8"/>
        <v>0</v>
      </c>
      <c r="S33" s="31"/>
    </row>
    <row r="34" spans="5:19" ht="12.75" hidden="1">
      <c r="E34" s="31"/>
      <c r="F34" s="31"/>
      <c r="G34" s="31"/>
      <c r="H34" s="31"/>
      <c r="I34" s="31"/>
      <c r="J34" s="31"/>
      <c r="K34" s="31"/>
      <c r="L34" s="31">
        <f>SUM(L32-L33)</f>
        <v>3642.1334500000003</v>
      </c>
      <c r="M34" s="31"/>
      <c r="N34" s="31">
        <v>0</v>
      </c>
      <c r="O34" s="31"/>
      <c r="P34" s="33">
        <f>SUM(P32-P33)</f>
        <v>0.040290000002642046</v>
      </c>
      <c r="Q34" s="33">
        <f>SUM(Q7,Q6)</f>
        <v>5780.99498</v>
      </c>
      <c r="R34" s="31"/>
      <c r="S34" s="31"/>
    </row>
    <row r="35" spans="5:19" ht="12.75" hidden="1">
      <c r="E35" s="31"/>
      <c r="F35" s="31"/>
      <c r="G35" s="31"/>
      <c r="H35" s="31"/>
      <c r="I35" s="31"/>
      <c r="J35" s="31"/>
      <c r="K35" s="31"/>
      <c r="L35" s="31"/>
      <c r="M35" s="31"/>
      <c r="N35" s="31">
        <f>SUM(N23:N34)</f>
        <v>64.25493</v>
      </c>
      <c r="O35" s="31"/>
      <c r="P35" s="31"/>
      <c r="Q35" s="31"/>
      <c r="R35" s="31"/>
      <c r="S35" s="31"/>
    </row>
    <row r="36" spans="5:19" ht="12.75" hidden="1">
      <c r="E36" s="31"/>
      <c r="F36" s="31"/>
      <c r="G36" s="31"/>
      <c r="H36" s="31"/>
      <c r="I36" s="31"/>
      <c r="J36" s="31"/>
      <c r="K36" s="31"/>
      <c r="L36" s="31"/>
      <c r="M36" s="31"/>
      <c r="N36" s="32"/>
      <c r="O36" s="31"/>
      <c r="P36" s="31"/>
      <c r="Q36" s="31"/>
      <c r="R36" s="31"/>
      <c r="S36" s="31"/>
    </row>
    <row r="37" spans="5:19" ht="12.75" hidden="1"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5:19" ht="12.75" hidden="1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ht="12.75" hidden="1"/>
    <row r="40" ht="12.75" hidden="1">
      <c r="T40" s="31" t="s">
        <v>3</v>
      </c>
    </row>
    <row r="41" spans="19:20" ht="12.75" hidden="1">
      <c r="S41">
        <f>SUM(T41:W41)</f>
        <v>5780994.98</v>
      </c>
      <c r="T41" s="31">
        <v>5780994.98</v>
      </c>
    </row>
    <row r="42" ht="12.75" hidden="1">
      <c r="T42">
        <v>998427.99</v>
      </c>
    </row>
    <row r="43" ht="12.75" hidden="1"/>
    <row r="44" ht="12.75" hidden="1"/>
    <row r="45" ht="12.75" hidden="1"/>
  </sheetData>
  <sheetProtection/>
  <mergeCells count="25">
    <mergeCell ref="M3:O3"/>
    <mergeCell ref="K4:K5"/>
    <mergeCell ref="L4:L5"/>
    <mergeCell ref="M4:N4"/>
    <mergeCell ref="O4:O5"/>
    <mergeCell ref="H4:H5"/>
    <mergeCell ref="I4:I5"/>
    <mergeCell ref="J4:J5"/>
    <mergeCell ref="S3:T3"/>
    <mergeCell ref="S4:S5"/>
    <mergeCell ref="T4:T5"/>
    <mergeCell ref="G3:H3"/>
    <mergeCell ref="I3:J3"/>
    <mergeCell ref="P4:P5"/>
    <mergeCell ref="K3:L3"/>
    <mergeCell ref="Q4:R4"/>
    <mergeCell ref="P3:R3"/>
    <mergeCell ref="G4:G5"/>
    <mergeCell ref="B4:B5"/>
    <mergeCell ref="A3:A5"/>
    <mergeCell ref="E4:E5"/>
    <mergeCell ref="F4:F5"/>
    <mergeCell ref="B3:D3"/>
    <mergeCell ref="E3:F3"/>
    <mergeCell ref="C4:D4"/>
  </mergeCells>
  <printOptions/>
  <pageMargins left="0.5905511811023623" right="0" top="0.5905511811023623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22">
      <selection activeCell="N37" sqref="N37"/>
    </sheetView>
  </sheetViews>
  <sheetFormatPr defaultColWidth="9.140625" defaultRowHeight="12.75"/>
  <cols>
    <col min="1" max="1" width="21.7109375" style="0" customWidth="1"/>
    <col min="2" max="4" width="7.00390625" style="0" customWidth="1"/>
    <col min="5" max="5" width="7.57421875" style="0" customWidth="1"/>
    <col min="6" max="6" width="6.7109375" style="0" customWidth="1"/>
    <col min="7" max="7" width="5.140625" style="0" hidden="1" customWidth="1"/>
    <col min="8" max="8" width="4.8515625" style="0" hidden="1" customWidth="1"/>
    <col min="9" max="9" width="8.140625" style="0" customWidth="1"/>
    <col min="10" max="10" width="6.8515625" style="0" customWidth="1"/>
    <col min="11" max="11" width="7.8515625" style="0" customWidth="1"/>
    <col min="12" max="12" width="7.00390625" style="0" customWidth="1"/>
    <col min="13" max="13" width="8.421875" style="0" customWidth="1"/>
    <col min="14" max="14" width="8.28125" style="0" customWidth="1"/>
    <col min="15" max="15" width="7.421875" style="0" customWidth="1"/>
    <col min="16" max="16" width="7.7109375" style="0" customWidth="1"/>
    <col min="17" max="17" width="6.140625" style="0" customWidth="1"/>
    <col min="18" max="18" width="7.8515625" style="0" customWidth="1"/>
    <col min="19" max="19" width="6.140625" style="0" customWidth="1"/>
    <col min="20" max="20" width="6.8515625" style="0" customWidth="1"/>
  </cols>
  <sheetData>
    <row r="1" spans="1:20" s="48" customFormat="1" ht="12.75">
      <c r="A1" s="109" t="s">
        <v>102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3" spans="1:20" s="2" customFormat="1" ht="77.25" customHeight="1">
      <c r="A3" s="107" t="s">
        <v>40</v>
      </c>
      <c r="B3" s="107" t="s">
        <v>41</v>
      </c>
      <c r="C3" s="107"/>
      <c r="D3" s="107"/>
      <c r="E3" s="107" t="s">
        <v>42</v>
      </c>
      <c r="F3" s="107"/>
      <c r="G3" s="107" t="s">
        <v>43</v>
      </c>
      <c r="H3" s="107"/>
      <c r="I3" s="107" t="s">
        <v>44</v>
      </c>
      <c r="J3" s="107"/>
      <c r="K3" s="107" t="s">
        <v>45</v>
      </c>
      <c r="L3" s="107"/>
      <c r="M3" s="107" t="s">
        <v>46</v>
      </c>
      <c r="N3" s="107"/>
      <c r="O3" s="107"/>
      <c r="P3" s="107" t="s">
        <v>47</v>
      </c>
      <c r="Q3" s="107"/>
      <c r="R3" s="107"/>
      <c r="S3" s="107" t="s">
        <v>64</v>
      </c>
      <c r="T3" s="107"/>
    </row>
    <row r="4" spans="1:20" s="2" customFormat="1" ht="28.5" customHeight="1">
      <c r="A4" s="107"/>
      <c r="B4" s="107" t="s">
        <v>33</v>
      </c>
      <c r="C4" s="107" t="s">
        <v>15</v>
      </c>
      <c r="D4" s="107"/>
      <c r="E4" s="108" t="s">
        <v>48</v>
      </c>
      <c r="F4" s="108" t="s">
        <v>49</v>
      </c>
      <c r="G4" s="108" t="s">
        <v>48</v>
      </c>
      <c r="H4" s="108" t="s">
        <v>49</v>
      </c>
      <c r="I4" s="108" t="s">
        <v>48</v>
      </c>
      <c r="J4" s="108" t="s">
        <v>49</v>
      </c>
      <c r="K4" s="108" t="s">
        <v>48</v>
      </c>
      <c r="L4" s="108" t="s">
        <v>49</v>
      </c>
      <c r="M4" s="107" t="s">
        <v>50</v>
      </c>
      <c r="N4" s="107"/>
      <c r="O4" s="108" t="s">
        <v>51</v>
      </c>
      <c r="P4" s="107" t="s">
        <v>33</v>
      </c>
      <c r="Q4" s="107" t="s">
        <v>15</v>
      </c>
      <c r="R4" s="107"/>
      <c r="S4" s="108" t="s">
        <v>62</v>
      </c>
      <c r="T4" s="108" t="s">
        <v>63</v>
      </c>
    </row>
    <row r="5" spans="1:20" s="2" customFormat="1" ht="103.5" customHeight="1">
      <c r="A5" s="107"/>
      <c r="B5" s="107"/>
      <c r="C5" s="22" t="s">
        <v>52</v>
      </c>
      <c r="D5" s="22" t="s">
        <v>53</v>
      </c>
      <c r="E5" s="108"/>
      <c r="F5" s="108"/>
      <c r="G5" s="108"/>
      <c r="H5" s="108"/>
      <c r="I5" s="108"/>
      <c r="J5" s="108"/>
      <c r="K5" s="108"/>
      <c r="L5" s="108"/>
      <c r="M5" s="1" t="s">
        <v>33</v>
      </c>
      <c r="N5" s="23" t="s">
        <v>54</v>
      </c>
      <c r="O5" s="108"/>
      <c r="P5" s="107"/>
      <c r="Q5" s="22" t="s">
        <v>52</v>
      </c>
      <c r="R5" s="22" t="s">
        <v>53</v>
      </c>
      <c r="S5" s="108"/>
      <c r="T5" s="108"/>
    </row>
    <row r="6" spans="1:20" s="3" customFormat="1" ht="24.75" customHeight="1">
      <c r="A6" s="21" t="s">
        <v>55</v>
      </c>
      <c r="B6" s="26">
        <f aca="true" t="shared" si="0" ref="B6:B11">SUM(C6:D6)</f>
        <v>2037.0782399999998</v>
      </c>
      <c r="C6" s="26">
        <v>1514.230997</v>
      </c>
      <c r="D6" s="27">
        <v>522.847243</v>
      </c>
      <c r="E6" s="27">
        <f>SUM(E12-E7)</f>
        <v>6287.397270000001</v>
      </c>
      <c r="F6" s="27">
        <f>SUM(F12-F7)</f>
        <v>2133.311100000001</v>
      </c>
      <c r="G6" s="27">
        <v>0</v>
      </c>
      <c r="H6" s="27">
        <v>0</v>
      </c>
      <c r="I6" s="27">
        <f aca="true" t="shared" si="1" ref="I6:J12">SUM(E6-G6)</f>
        <v>6287.397270000001</v>
      </c>
      <c r="J6" s="27">
        <f t="shared" si="1"/>
        <v>2133.311100000001</v>
      </c>
      <c r="K6" s="27">
        <f>SUM(L6)+'опл.фев.16'!K6</f>
        <v>5656.336710000001</v>
      </c>
      <c r="L6" s="27">
        <f>SUM(L12-L7)</f>
        <v>2629.256000000001</v>
      </c>
      <c r="M6" s="27">
        <f aca="true" t="shared" si="2" ref="M6:M12">SUM(K6)</f>
        <v>5656.336710000001</v>
      </c>
      <c r="N6" s="27">
        <f>SUM(N12-N7)</f>
        <v>103.30286060897288</v>
      </c>
      <c r="O6" s="27">
        <f aca="true" t="shared" si="3" ref="O6:O12">SUM(L6)</f>
        <v>2629.256000000001</v>
      </c>
      <c r="P6" s="27">
        <f aca="true" t="shared" si="4" ref="P6:P12">SUM(B6+E6-K6)</f>
        <v>2668.138799999999</v>
      </c>
      <c r="Q6" s="27">
        <f>SUM(Q12-Q7)</f>
        <v>1894.4533453515178</v>
      </c>
      <c r="R6" s="27">
        <f>SUM(R12-R7)</f>
        <v>773.6854546484833</v>
      </c>
      <c r="S6" s="38">
        <f>SUM(K6/E6)</f>
        <v>0.8996308754003706</v>
      </c>
      <c r="T6" s="38">
        <f>SUM(L6/J6)</f>
        <v>1.2324765947170107</v>
      </c>
    </row>
    <row r="7" spans="1:20" s="3" customFormat="1" ht="41.25" customHeight="1">
      <c r="A7" s="21" t="s">
        <v>56</v>
      </c>
      <c r="B7" s="26">
        <f t="shared" si="0"/>
        <v>3951.1929099999998</v>
      </c>
      <c r="C7" s="27">
        <f>SUM(C8:C11)</f>
        <v>2937.0589019999998</v>
      </c>
      <c r="D7" s="27">
        <f>SUM(D8:D11)</f>
        <v>1014.134008</v>
      </c>
      <c r="E7" s="27">
        <f>SUM(E8:E11)</f>
        <v>16832.38105</v>
      </c>
      <c r="F7" s="27">
        <f>SUM(F8:F11)</f>
        <v>4554.39668</v>
      </c>
      <c r="G7" s="27">
        <v>0</v>
      </c>
      <c r="H7" s="27">
        <v>0</v>
      </c>
      <c r="I7" s="27">
        <f t="shared" si="1"/>
        <v>16832.38105</v>
      </c>
      <c r="J7" s="27">
        <f t="shared" si="1"/>
        <v>4554.39668</v>
      </c>
      <c r="K7" s="27">
        <f>SUM(L7)+'опл.фев.16'!K7</f>
        <v>15030.14429</v>
      </c>
      <c r="L7" s="27">
        <f>SUM(L8:L11)</f>
        <v>6339.07596</v>
      </c>
      <c r="M7" s="27">
        <f t="shared" si="2"/>
        <v>15030.14429</v>
      </c>
      <c r="N7" s="27">
        <f>SUM(N12/M12)*M7</f>
        <v>274.49866939102714</v>
      </c>
      <c r="O7" s="27">
        <f t="shared" si="3"/>
        <v>6339.07596</v>
      </c>
      <c r="P7" s="27">
        <f t="shared" si="4"/>
        <v>5753.429670000001</v>
      </c>
      <c r="Q7" s="27">
        <f>SUM(Q8:Q11)</f>
        <v>4085.0963546484827</v>
      </c>
      <c r="R7" s="27">
        <f>SUM(R8:R11)</f>
        <v>1668.3333153515182</v>
      </c>
      <c r="S7" s="38">
        <f aca="true" t="shared" si="5" ref="S7:S12">SUM(K7/E7)</f>
        <v>0.8929303730324</v>
      </c>
      <c r="T7" s="38">
        <f aca="true" t="shared" si="6" ref="T7:T12">SUM(L7/J7)</f>
        <v>1.3918585501867178</v>
      </c>
    </row>
    <row r="8" spans="1:20" s="2" customFormat="1" ht="24.75" customHeight="1">
      <c r="A8" s="20" t="s">
        <v>57</v>
      </c>
      <c r="B8" s="28">
        <f t="shared" si="0"/>
        <v>983.69713</v>
      </c>
      <c r="C8" s="29">
        <v>731.216237</v>
      </c>
      <c r="D8" s="29">
        <v>252.480893</v>
      </c>
      <c r="E8" s="29">
        <f>SUM('Начисл.2016'!U10)/1000</f>
        <v>2267.79239</v>
      </c>
      <c r="F8" s="29">
        <f>SUM('Начисл.2016'!U9)/1000</f>
        <v>714.1182299999999</v>
      </c>
      <c r="G8" s="29">
        <v>0</v>
      </c>
      <c r="H8" s="29">
        <v>0</v>
      </c>
      <c r="I8" s="29">
        <f t="shared" si="1"/>
        <v>2267.79239</v>
      </c>
      <c r="J8" s="29">
        <f t="shared" si="1"/>
        <v>714.1182299999999</v>
      </c>
      <c r="K8" s="29">
        <f>SUM(L8)+'опл.фев.16'!K8</f>
        <v>2057.3709</v>
      </c>
      <c r="L8" s="29">
        <v>939.1615</v>
      </c>
      <c r="M8" s="29">
        <f t="shared" si="2"/>
        <v>2057.3709</v>
      </c>
      <c r="N8" s="29">
        <f>SUM(N12/M12)*M8</f>
        <v>37.574195137272355</v>
      </c>
      <c r="O8" s="29">
        <f t="shared" si="3"/>
        <v>939.1615</v>
      </c>
      <c r="P8" s="29">
        <f t="shared" si="4"/>
        <v>1194.1186200000002</v>
      </c>
      <c r="Q8" s="29">
        <f>SUM(Q12/P12)*P8</f>
        <v>847.8576955612419</v>
      </c>
      <c r="R8" s="29">
        <f>SUM(R12/Q12)*Q8</f>
        <v>346.26092443875825</v>
      </c>
      <c r="S8" s="38">
        <f t="shared" si="5"/>
        <v>0.9072130716515897</v>
      </c>
      <c r="T8" s="38">
        <f t="shared" si="6"/>
        <v>1.3151344701002803</v>
      </c>
    </row>
    <row r="9" spans="1:20" s="2" customFormat="1" ht="21.75" customHeight="1">
      <c r="A9" s="20" t="s">
        <v>58</v>
      </c>
      <c r="B9" s="28">
        <f t="shared" si="0"/>
        <v>573.44926</v>
      </c>
      <c r="C9" s="29">
        <v>426.264749</v>
      </c>
      <c r="D9" s="29">
        <v>147.184511</v>
      </c>
      <c r="E9" s="29">
        <f>SUM('Начисл.2016'!V10)/1000</f>
        <v>1292.20424</v>
      </c>
      <c r="F9" s="29">
        <f>SUM('Начисл.2016'!V9)/1000</f>
        <v>420.44923</v>
      </c>
      <c r="G9" s="29">
        <v>0</v>
      </c>
      <c r="H9" s="29">
        <v>0</v>
      </c>
      <c r="I9" s="29">
        <f t="shared" si="1"/>
        <v>1292.20424</v>
      </c>
      <c r="J9" s="29">
        <f t="shared" si="1"/>
        <v>420.44923</v>
      </c>
      <c r="K9" s="29">
        <f>SUM(L9)+'опл.фев.16'!K9</f>
        <v>1173.8024500000001</v>
      </c>
      <c r="L9" s="29">
        <v>535.14559</v>
      </c>
      <c r="M9" s="29">
        <f t="shared" si="2"/>
        <v>1173.8024500000001</v>
      </c>
      <c r="N9" s="29">
        <f>SUM(N12/M12)*M9</f>
        <v>21.437399697307075</v>
      </c>
      <c r="O9" s="29">
        <f t="shared" si="3"/>
        <v>535.14559</v>
      </c>
      <c r="P9" s="29">
        <f t="shared" si="4"/>
        <v>691.8510499999998</v>
      </c>
      <c r="Q9" s="29">
        <f>SUM(Q12/P12)*P9</f>
        <v>491.23364052779385</v>
      </c>
      <c r="R9" s="29">
        <f>SUM(R12/Q12)*Q9</f>
        <v>200.61740947220588</v>
      </c>
      <c r="S9" s="38">
        <f t="shared" si="5"/>
        <v>0.9083722322409343</v>
      </c>
      <c r="T9" s="38">
        <f t="shared" si="6"/>
        <v>1.2727947914186928</v>
      </c>
    </row>
    <row r="10" spans="1:20" s="2" customFormat="1" ht="20.25" customHeight="1">
      <c r="A10" s="20" t="s">
        <v>59</v>
      </c>
      <c r="B10" s="28">
        <f t="shared" si="0"/>
        <v>0</v>
      </c>
      <c r="C10" s="28">
        <v>0</v>
      </c>
      <c r="D10" s="28">
        <v>0</v>
      </c>
      <c r="E10" s="29">
        <f>SUM('Начисл.2016'!Y10)/1000</f>
        <v>0</v>
      </c>
      <c r="F10" s="29">
        <f>SUM('Начисл.2016'!Y9)/1000</f>
        <v>0</v>
      </c>
      <c r="G10" s="29">
        <v>0</v>
      </c>
      <c r="H10" s="29">
        <v>0</v>
      </c>
      <c r="I10" s="29">
        <f t="shared" si="1"/>
        <v>0</v>
      </c>
      <c r="J10" s="29">
        <f t="shared" si="1"/>
        <v>0</v>
      </c>
      <c r="K10" s="29">
        <f>SUM(L10)+'опл.фев.16'!K10</f>
        <v>0</v>
      </c>
      <c r="L10" s="29">
        <v>0</v>
      </c>
      <c r="M10" s="29">
        <f t="shared" si="2"/>
        <v>0</v>
      </c>
      <c r="N10" s="29">
        <f>SUM(N12/M12)*M10</f>
        <v>0</v>
      </c>
      <c r="O10" s="29">
        <f t="shared" si="3"/>
        <v>0</v>
      </c>
      <c r="P10" s="29">
        <f t="shared" si="4"/>
        <v>0</v>
      </c>
      <c r="Q10" s="29">
        <f>SUM(Q12/P12)*P10</f>
        <v>0</v>
      </c>
      <c r="R10" s="29">
        <f>SUM(P10-Q10)</f>
        <v>0</v>
      </c>
      <c r="S10" s="38">
        <v>0</v>
      </c>
      <c r="T10" s="38">
        <v>0</v>
      </c>
    </row>
    <row r="11" spans="1:20" s="2" customFormat="1" ht="21" customHeight="1">
      <c r="A11" s="20" t="s">
        <v>60</v>
      </c>
      <c r="B11" s="29">
        <f t="shared" si="0"/>
        <v>2394.04652</v>
      </c>
      <c r="C11" s="29">
        <v>1779.577916</v>
      </c>
      <c r="D11" s="29">
        <v>614.468604</v>
      </c>
      <c r="E11" s="29">
        <f>SUM('Начисл.2016'!W10)/1000</f>
        <v>13272.38442</v>
      </c>
      <c r="F11" s="29">
        <f>SUM('Начисл.2016'!W9)/1000</f>
        <v>3419.82922</v>
      </c>
      <c r="G11" s="29">
        <v>0</v>
      </c>
      <c r="H11" s="29">
        <v>0</v>
      </c>
      <c r="I11" s="29">
        <f t="shared" si="1"/>
        <v>13272.38442</v>
      </c>
      <c r="J11" s="29">
        <f t="shared" si="1"/>
        <v>3419.82922</v>
      </c>
      <c r="K11" s="29">
        <f>SUM(L11)+'опл.фев.16'!K11</f>
        <v>11798.97094</v>
      </c>
      <c r="L11" s="29">
        <v>4864.76887</v>
      </c>
      <c r="M11" s="29">
        <f t="shared" si="2"/>
        <v>11798.97094</v>
      </c>
      <c r="N11" s="29">
        <f>SUM(N12/M12)*M11</f>
        <v>215.48707455644768</v>
      </c>
      <c r="O11" s="29">
        <f t="shared" si="3"/>
        <v>4864.76887</v>
      </c>
      <c r="P11" s="29">
        <f t="shared" si="4"/>
        <v>3867.460000000001</v>
      </c>
      <c r="Q11" s="29">
        <f>SUM(Q12/P12)*P11</f>
        <v>2746.005018559447</v>
      </c>
      <c r="R11" s="29">
        <f>SUM(R12/Q12)*Q11</f>
        <v>1121.454981440554</v>
      </c>
      <c r="S11" s="38">
        <f t="shared" si="5"/>
        <v>0.8889865277124033</v>
      </c>
      <c r="T11" s="38">
        <f t="shared" si="6"/>
        <v>1.4225180724083057</v>
      </c>
    </row>
    <row r="12" spans="1:20" s="3" customFormat="1" ht="24" customHeight="1">
      <c r="A12" s="21" t="s">
        <v>61</v>
      </c>
      <c r="B12" s="26">
        <f>SUM(B6)+B7</f>
        <v>5988.27115</v>
      </c>
      <c r="C12" s="27">
        <f>SUM(C6)+C7</f>
        <v>4451.289898999999</v>
      </c>
      <c r="D12" s="27">
        <f>SUM(D6)+D7</f>
        <v>1536.9812510000002</v>
      </c>
      <c r="E12" s="27">
        <f>SUM('Начисл.2016'!AH10)/1000</f>
        <v>23119.77832</v>
      </c>
      <c r="F12" s="27">
        <f>SUM('Начисл.2016'!AH9)/1000</f>
        <v>6687.707780000001</v>
      </c>
      <c r="G12" s="27">
        <v>0</v>
      </c>
      <c r="H12" s="27">
        <v>0</v>
      </c>
      <c r="I12" s="27">
        <f t="shared" si="1"/>
        <v>23119.77832</v>
      </c>
      <c r="J12" s="27">
        <f t="shared" si="1"/>
        <v>6687.707780000001</v>
      </c>
      <c r="K12" s="27">
        <f>SUM('Начисл.2016'!AI10)/1000</f>
        <v>20686.481</v>
      </c>
      <c r="L12" s="27">
        <f>SUM('Начисл.2016'!AI9)/1000</f>
        <v>8968.331960000001</v>
      </c>
      <c r="M12" s="27">
        <f t="shared" si="2"/>
        <v>20686.481</v>
      </c>
      <c r="N12" s="27">
        <f>SUM(N37)</f>
        <v>377.80153</v>
      </c>
      <c r="O12" s="27">
        <f t="shared" si="3"/>
        <v>8968.331960000001</v>
      </c>
      <c r="P12" s="27">
        <f t="shared" si="4"/>
        <v>8421.568470000002</v>
      </c>
      <c r="Q12" s="27">
        <f>SUM(Q34)</f>
        <v>5979.5497000000005</v>
      </c>
      <c r="R12" s="27">
        <f>SUM(P12-Q12)</f>
        <v>2442.0187700000015</v>
      </c>
      <c r="S12" s="38">
        <f t="shared" si="5"/>
        <v>0.8947525669874156</v>
      </c>
      <c r="T12" s="38">
        <f t="shared" si="6"/>
        <v>1.3410173193901125</v>
      </c>
    </row>
    <row r="13" spans="1:20" s="3" customFormat="1" ht="24" customHeight="1">
      <c r="A13" s="49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52"/>
    </row>
    <row r="14" spans="1:20" s="3" customFormat="1" ht="24" customHeight="1">
      <c r="A14" s="49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  <c r="T14" s="52"/>
    </row>
    <row r="16" ht="12.75">
      <c r="A16" t="s">
        <v>34</v>
      </c>
    </row>
    <row r="17" ht="12.75">
      <c r="A17" t="s">
        <v>35</v>
      </c>
    </row>
    <row r="24" ht="11.25" customHeight="1"/>
    <row r="25" ht="12.75" hidden="1"/>
    <row r="26" ht="12.75" hidden="1">
      <c r="N26" s="36">
        <f>SUM('опл. янв.16'!N25)</f>
        <v>64.25493</v>
      </c>
    </row>
    <row r="27" ht="12.75" hidden="1">
      <c r="N27" s="36">
        <f>SUM('опл.фев.16'!N25)</f>
        <v>122.42421</v>
      </c>
    </row>
    <row r="28" ht="12.75" hidden="1">
      <c r="N28" s="36">
        <v>191.12239</v>
      </c>
    </row>
    <row r="29" ht="12.75" hidden="1">
      <c r="N29" s="36">
        <v>0</v>
      </c>
    </row>
    <row r="30" ht="12.75" hidden="1">
      <c r="N30" s="36">
        <v>0</v>
      </c>
    </row>
    <row r="31" ht="12.75" hidden="1">
      <c r="N31" s="36">
        <v>0</v>
      </c>
    </row>
    <row r="32" ht="12.75" hidden="1">
      <c r="N32" s="36">
        <v>0</v>
      </c>
    </row>
    <row r="33" ht="12.75" hidden="1">
      <c r="N33" s="36">
        <v>0</v>
      </c>
    </row>
    <row r="34" spans="2:19" ht="12.75" hidden="1">
      <c r="B34">
        <f>SUM(B7,B6)</f>
        <v>5988.27115</v>
      </c>
      <c r="C34" s="36">
        <f>SUM(C7,C6)</f>
        <v>4451.289898999999</v>
      </c>
      <c r="D34">
        <f>SUM(D7,D6)</f>
        <v>1536.9812510000002</v>
      </c>
      <c r="E34" s="30">
        <f>SUM(E8:E11,E6)</f>
        <v>23119.77832</v>
      </c>
      <c r="F34" s="30">
        <f>SUM(F8:F11,F6)</f>
        <v>6687.707780000001</v>
      </c>
      <c r="G34" s="31">
        <v>0</v>
      </c>
      <c r="H34" s="31">
        <v>0</v>
      </c>
      <c r="I34" s="30">
        <f>SUM(I8:I11,I6)</f>
        <v>23119.77832</v>
      </c>
      <c r="J34" s="30">
        <f>SUM(J8:J11,J6)</f>
        <v>6687.707780000001</v>
      </c>
      <c r="K34" s="30">
        <f>SUM(K8:K11,K6)</f>
        <v>20686.481</v>
      </c>
      <c r="L34" s="31">
        <f>SUM('Начисл.2016'!AI9)/1000</f>
        <v>8968.331960000001</v>
      </c>
      <c r="M34" s="31">
        <f>SUM('Начисл.2016'!AI10)/1000</f>
        <v>20686.481</v>
      </c>
      <c r="N34" s="33">
        <v>0</v>
      </c>
      <c r="O34" s="31">
        <f>SUM('Начисл.2016'!AI9)/1000</f>
        <v>8968.331960000001</v>
      </c>
      <c r="P34" s="33">
        <f>SUM('Начисл.2016'!AJ10)/1000</f>
        <v>8421.508759999999</v>
      </c>
      <c r="Q34" s="33">
        <f>SUM(T43)/1000</f>
        <v>5979.5497000000005</v>
      </c>
      <c r="R34" s="33">
        <f>SUM(R6,R7)</f>
        <v>2442.0187700000015</v>
      </c>
      <c r="S34" s="31"/>
    </row>
    <row r="35" spans="2:19" ht="12.75" hidden="1">
      <c r="B35">
        <f>SUM(B8:B11,B6)</f>
        <v>5988.27115</v>
      </c>
      <c r="C35" s="36">
        <f>SUM(C8:C11,C6)</f>
        <v>4451.289898999999</v>
      </c>
      <c r="D35">
        <f>SUM(D8:D11,D6)</f>
        <v>1536.9812510000002</v>
      </c>
      <c r="E35" s="30">
        <f>SUM(E34-E12)</f>
        <v>0</v>
      </c>
      <c r="F35" s="30">
        <f>SUM(F34-F12)</f>
        <v>0</v>
      </c>
      <c r="G35" s="31">
        <v>0</v>
      </c>
      <c r="H35" s="31">
        <v>0</v>
      </c>
      <c r="I35" s="30">
        <f>SUM(I12-I34)</f>
        <v>0</v>
      </c>
      <c r="J35" s="30">
        <f aca="true" t="shared" si="7" ref="J35:R35">SUM(J12-J34)</f>
        <v>0</v>
      </c>
      <c r="K35" s="30">
        <f t="shared" si="7"/>
        <v>0</v>
      </c>
      <c r="L35" s="31"/>
      <c r="M35" s="30">
        <f t="shared" si="7"/>
        <v>0</v>
      </c>
      <c r="N35" s="33">
        <v>0</v>
      </c>
      <c r="O35" s="30">
        <f t="shared" si="7"/>
        <v>0</v>
      </c>
      <c r="P35" s="33">
        <f>SUM(P7,P6)</f>
        <v>8421.56847</v>
      </c>
      <c r="Q35" s="30">
        <f t="shared" si="7"/>
        <v>0</v>
      </c>
      <c r="R35" s="30">
        <f t="shared" si="7"/>
        <v>0</v>
      </c>
      <c r="S35" s="31"/>
    </row>
    <row r="36" spans="5:19" ht="12.75" hidden="1">
      <c r="E36" s="31"/>
      <c r="F36" s="31"/>
      <c r="G36" s="31"/>
      <c r="H36" s="31"/>
      <c r="I36" s="31"/>
      <c r="J36" s="31"/>
      <c r="K36" s="31"/>
      <c r="L36" s="31">
        <f>SUM(L34-L35)</f>
        <v>8968.331960000001</v>
      </c>
      <c r="M36" s="31"/>
      <c r="N36" s="33">
        <v>0</v>
      </c>
      <c r="O36" s="31"/>
      <c r="P36" s="33">
        <f>SUM(P34-P35)</f>
        <v>-0.05971000000135973</v>
      </c>
      <c r="Q36" s="33">
        <f>SUM(Q7,Q6)</f>
        <v>5979.5497000000005</v>
      </c>
      <c r="R36" s="31"/>
      <c r="S36" s="31"/>
    </row>
    <row r="37" spans="5:19" ht="12.75" hidden="1">
      <c r="E37" s="31"/>
      <c r="F37" s="31"/>
      <c r="G37" s="31"/>
      <c r="H37" s="31"/>
      <c r="I37" s="31"/>
      <c r="J37" s="31"/>
      <c r="K37" s="31"/>
      <c r="L37" s="31"/>
      <c r="M37" s="31"/>
      <c r="N37" s="33">
        <f>SUM(N25:N36)</f>
        <v>377.80153</v>
      </c>
      <c r="O37" s="31"/>
      <c r="P37" s="31"/>
      <c r="Q37" s="31"/>
      <c r="R37" s="31"/>
      <c r="S37" s="31"/>
    </row>
    <row r="38" spans="5:19" ht="12.75" hidden="1">
      <c r="E38" s="31"/>
      <c r="F38" s="31"/>
      <c r="G38" s="31"/>
      <c r="H38" s="31"/>
      <c r="I38" s="31"/>
      <c r="J38" s="31"/>
      <c r="K38" s="31"/>
      <c r="L38" s="31"/>
      <c r="M38" s="31"/>
      <c r="N38" s="32"/>
      <c r="O38" s="31"/>
      <c r="P38" s="31"/>
      <c r="Q38" s="31"/>
      <c r="R38" s="31"/>
      <c r="S38" s="31"/>
    </row>
    <row r="39" spans="5:19" ht="12.75" hidden="1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5:19" ht="12.75" hidden="1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ht="12.75" hidden="1"/>
    <row r="42" ht="12.75" hidden="1">
      <c r="T42" s="31" t="s">
        <v>3</v>
      </c>
    </row>
    <row r="43" spans="19:20" ht="12.75" hidden="1">
      <c r="S43">
        <f>SUM(T43:W43)</f>
        <v>5979549.7</v>
      </c>
      <c r="T43" s="90">
        <v>5979549.7</v>
      </c>
    </row>
    <row r="44" ht="12.75" hidden="1">
      <c r="T44" s="76"/>
    </row>
    <row r="45" ht="12.75" hidden="1"/>
    <row r="46" ht="12.75" hidden="1"/>
  </sheetData>
  <sheetProtection/>
  <mergeCells count="26">
    <mergeCell ref="K3:L3"/>
    <mergeCell ref="J4:J5"/>
    <mergeCell ref="K4:K5"/>
    <mergeCell ref="L4:L5"/>
    <mergeCell ref="I4:I5"/>
    <mergeCell ref="A3:A5"/>
    <mergeCell ref="B3:D3"/>
    <mergeCell ref="E3:F3"/>
    <mergeCell ref="G3:H3"/>
    <mergeCell ref="I3:J3"/>
    <mergeCell ref="B4:B5"/>
    <mergeCell ref="C4:D4"/>
    <mergeCell ref="E4:E5"/>
    <mergeCell ref="F4:F5"/>
    <mergeCell ref="G4:G5"/>
    <mergeCell ref="H4:H5"/>
    <mergeCell ref="A1:T1"/>
    <mergeCell ref="M4:N4"/>
    <mergeCell ref="O4:O5"/>
    <mergeCell ref="P4:P5"/>
    <mergeCell ref="Q4:R4"/>
    <mergeCell ref="S4:S5"/>
    <mergeCell ref="T4:T5"/>
    <mergeCell ref="M3:O3"/>
    <mergeCell ref="P3:R3"/>
    <mergeCell ref="S3:T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7">
      <selection activeCell="N26" sqref="N26:N29"/>
    </sheetView>
  </sheetViews>
  <sheetFormatPr defaultColWidth="9.140625" defaultRowHeight="12.75"/>
  <cols>
    <col min="1" max="1" width="21.7109375" style="0" customWidth="1"/>
    <col min="2" max="4" width="7.00390625" style="0" customWidth="1"/>
    <col min="5" max="5" width="7.57421875" style="0" customWidth="1"/>
    <col min="6" max="6" width="7.421875" style="0" customWidth="1"/>
    <col min="7" max="7" width="5.140625" style="0" hidden="1" customWidth="1"/>
    <col min="8" max="8" width="4.8515625" style="0" hidden="1" customWidth="1"/>
    <col min="9" max="9" width="8.140625" style="0" customWidth="1"/>
    <col min="10" max="10" width="6.8515625" style="0" customWidth="1"/>
    <col min="11" max="11" width="7.8515625" style="0" customWidth="1"/>
    <col min="12" max="13" width="8.421875" style="0" customWidth="1"/>
    <col min="14" max="14" width="8.28125" style="0" customWidth="1"/>
    <col min="15" max="15" width="7.421875" style="0" customWidth="1"/>
    <col min="16" max="16" width="7.00390625" style="0" customWidth="1"/>
    <col min="17" max="17" width="6.140625" style="0" customWidth="1"/>
    <col min="18" max="18" width="7.8515625" style="0" customWidth="1"/>
    <col min="19" max="19" width="6.140625" style="0" customWidth="1"/>
    <col min="20" max="20" width="6.8515625" style="0" customWidth="1"/>
  </cols>
  <sheetData>
    <row r="1" spans="1:20" s="48" customFormat="1" ht="12.75">
      <c r="A1" s="109" t="s">
        <v>103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3" spans="1:20" s="2" customFormat="1" ht="77.25" customHeight="1">
      <c r="A3" s="107" t="s">
        <v>40</v>
      </c>
      <c r="B3" s="107" t="s">
        <v>41</v>
      </c>
      <c r="C3" s="107"/>
      <c r="D3" s="107"/>
      <c r="E3" s="107" t="s">
        <v>42</v>
      </c>
      <c r="F3" s="107"/>
      <c r="G3" s="107" t="s">
        <v>43</v>
      </c>
      <c r="H3" s="107"/>
      <c r="I3" s="107" t="s">
        <v>44</v>
      </c>
      <c r="J3" s="107"/>
      <c r="K3" s="107" t="s">
        <v>45</v>
      </c>
      <c r="L3" s="107"/>
      <c r="M3" s="107" t="s">
        <v>46</v>
      </c>
      <c r="N3" s="107"/>
      <c r="O3" s="107"/>
      <c r="P3" s="107" t="s">
        <v>47</v>
      </c>
      <c r="Q3" s="107"/>
      <c r="R3" s="107"/>
      <c r="S3" s="107" t="s">
        <v>64</v>
      </c>
      <c r="T3" s="107"/>
    </row>
    <row r="4" spans="1:20" s="2" customFormat="1" ht="28.5" customHeight="1">
      <c r="A4" s="107"/>
      <c r="B4" s="107" t="s">
        <v>33</v>
      </c>
      <c r="C4" s="107" t="s">
        <v>15</v>
      </c>
      <c r="D4" s="107"/>
      <c r="E4" s="108" t="s">
        <v>48</v>
      </c>
      <c r="F4" s="108" t="s">
        <v>49</v>
      </c>
      <c r="G4" s="108" t="s">
        <v>48</v>
      </c>
      <c r="H4" s="108" t="s">
        <v>49</v>
      </c>
      <c r="I4" s="108" t="s">
        <v>48</v>
      </c>
      <c r="J4" s="108" t="s">
        <v>49</v>
      </c>
      <c r="K4" s="108" t="s">
        <v>48</v>
      </c>
      <c r="L4" s="108" t="s">
        <v>49</v>
      </c>
      <c r="M4" s="107" t="s">
        <v>50</v>
      </c>
      <c r="N4" s="107"/>
      <c r="O4" s="108" t="s">
        <v>51</v>
      </c>
      <c r="P4" s="107" t="s">
        <v>33</v>
      </c>
      <c r="Q4" s="107" t="s">
        <v>15</v>
      </c>
      <c r="R4" s="107"/>
      <c r="S4" s="108" t="s">
        <v>62</v>
      </c>
      <c r="T4" s="108" t="s">
        <v>63</v>
      </c>
    </row>
    <row r="5" spans="1:20" s="2" customFormat="1" ht="103.5" customHeight="1">
      <c r="A5" s="107"/>
      <c r="B5" s="107"/>
      <c r="C5" s="22" t="s">
        <v>52</v>
      </c>
      <c r="D5" s="22" t="s">
        <v>53</v>
      </c>
      <c r="E5" s="108"/>
      <c r="F5" s="108"/>
      <c r="G5" s="108"/>
      <c r="H5" s="108"/>
      <c r="I5" s="108"/>
      <c r="J5" s="108"/>
      <c r="K5" s="108"/>
      <c r="L5" s="108"/>
      <c r="M5" s="1" t="s">
        <v>33</v>
      </c>
      <c r="N5" s="23" t="s">
        <v>54</v>
      </c>
      <c r="O5" s="108"/>
      <c r="P5" s="107"/>
      <c r="Q5" s="22" t="s">
        <v>52</v>
      </c>
      <c r="R5" s="22" t="s">
        <v>53</v>
      </c>
      <c r="S5" s="108"/>
      <c r="T5" s="108"/>
    </row>
    <row r="6" spans="1:20" s="3" customFormat="1" ht="24.75" customHeight="1">
      <c r="A6" s="21" t="s">
        <v>55</v>
      </c>
      <c r="B6" s="26">
        <f aca="true" t="shared" si="0" ref="B6:B11">SUM(C6:D6)</f>
        <v>2037.0782399999998</v>
      </c>
      <c r="C6" s="26">
        <v>1514.230997</v>
      </c>
      <c r="D6" s="27">
        <v>522.847243</v>
      </c>
      <c r="E6" s="27">
        <f>SUM(E12-E7)</f>
        <v>8424.32302</v>
      </c>
      <c r="F6" s="27">
        <f>SUM(F12-F7)</f>
        <v>2136.9257499999994</v>
      </c>
      <c r="G6" s="27">
        <v>0</v>
      </c>
      <c r="H6" s="27">
        <v>0</v>
      </c>
      <c r="I6" s="27">
        <f aca="true" t="shared" si="1" ref="I6:J12">SUM(E6-G6)</f>
        <v>8424.32302</v>
      </c>
      <c r="J6" s="27">
        <f t="shared" si="1"/>
        <v>2136.9257499999994</v>
      </c>
      <c r="K6" s="27">
        <f>SUM(L6)+'опл. март'!K6</f>
        <v>7543.9376900000025</v>
      </c>
      <c r="L6" s="27">
        <f>SUM(L12-L7)</f>
        <v>1887.6009800000006</v>
      </c>
      <c r="M6" s="27">
        <f aca="true" t="shared" si="2" ref="M6:M12">SUM(K6)</f>
        <v>7543.9376900000025</v>
      </c>
      <c r="N6" s="27">
        <f>SUM(N12-N7)</f>
        <v>172.4767268462404</v>
      </c>
      <c r="O6" s="27">
        <f aca="true" t="shared" si="3" ref="O6:O12">SUM(L6)</f>
        <v>1887.6009800000006</v>
      </c>
      <c r="P6" s="27">
        <f aca="true" t="shared" si="4" ref="P6:P12">SUM(B6+E6-K6)</f>
        <v>2917.4635699999963</v>
      </c>
      <c r="Q6" s="27">
        <f>SUM(Q12-Q7)</f>
        <v>2004.0060382767806</v>
      </c>
      <c r="R6" s="27">
        <f>SUM(R12-R7)</f>
        <v>913.4575317232166</v>
      </c>
      <c r="S6" s="38">
        <f>SUM((K6)/(B6+E6))</f>
        <v>0.7211211483536961</v>
      </c>
      <c r="T6" s="38">
        <f aca="true" t="shared" si="5" ref="T6:T11">SUM((L6)/(J6+B6))</f>
        <v>0.45222788107588774</v>
      </c>
    </row>
    <row r="7" spans="1:20" s="3" customFormat="1" ht="41.25" customHeight="1">
      <c r="A7" s="21" t="s">
        <v>56</v>
      </c>
      <c r="B7" s="26">
        <f t="shared" si="0"/>
        <v>3951.1929099999998</v>
      </c>
      <c r="C7" s="27">
        <f>SUM(C8:C11)</f>
        <v>2937.0589019999998</v>
      </c>
      <c r="D7" s="27">
        <f>SUM(D8:D11)</f>
        <v>1014.134008</v>
      </c>
      <c r="E7" s="27">
        <f>SUM(E8:E11)</f>
        <v>20630.586150000003</v>
      </c>
      <c r="F7" s="27">
        <f>SUM(F8:F11)</f>
        <v>3798.2051</v>
      </c>
      <c r="G7" s="27">
        <v>0</v>
      </c>
      <c r="H7" s="27">
        <v>0</v>
      </c>
      <c r="I7" s="27">
        <f t="shared" si="1"/>
        <v>20630.586150000003</v>
      </c>
      <c r="J7" s="27">
        <f t="shared" si="1"/>
        <v>3798.2051</v>
      </c>
      <c r="K7" s="27">
        <f>SUM(L7)+'опл. март'!K7</f>
        <v>18816.06975</v>
      </c>
      <c r="L7" s="27">
        <f>SUM(L8:L11)</f>
        <v>3785.92546</v>
      </c>
      <c r="M7" s="27">
        <f t="shared" si="2"/>
        <v>18816.06975</v>
      </c>
      <c r="N7" s="27">
        <f>SUM(N12/M12)*M7</f>
        <v>430.1910031537596</v>
      </c>
      <c r="O7" s="27">
        <f t="shared" si="3"/>
        <v>3785.92546</v>
      </c>
      <c r="P7" s="27">
        <f t="shared" si="4"/>
        <v>5765.709310000002</v>
      </c>
      <c r="Q7" s="27">
        <f>SUM(Q8:Q11)</f>
        <v>3960.4663417232196</v>
      </c>
      <c r="R7" s="27">
        <f>SUM(R8:R11)</f>
        <v>1805.2429682767815</v>
      </c>
      <c r="S7" s="38">
        <f aca="true" t="shared" si="6" ref="S7:S12">SUM((K7)/(B7+E7))</f>
        <v>0.7654478426509785</v>
      </c>
      <c r="T7" s="38">
        <f t="shared" si="5"/>
        <v>0.4885444592101935</v>
      </c>
    </row>
    <row r="8" spans="1:20" s="2" customFormat="1" ht="24.75" customHeight="1">
      <c r="A8" s="20" t="s">
        <v>57</v>
      </c>
      <c r="B8" s="28">
        <f t="shared" si="0"/>
        <v>983.69713</v>
      </c>
      <c r="C8" s="29">
        <v>731.216237</v>
      </c>
      <c r="D8" s="29">
        <v>252.480893</v>
      </c>
      <c r="E8" s="29">
        <f>SUM('Начисл.2016'!U12)/1000</f>
        <v>3063.11663</v>
      </c>
      <c r="F8" s="29">
        <f>SUM('Начисл.2016'!U11)/1000</f>
        <v>795.32424</v>
      </c>
      <c r="G8" s="29">
        <v>0</v>
      </c>
      <c r="H8" s="29">
        <v>0</v>
      </c>
      <c r="I8" s="29">
        <f t="shared" si="1"/>
        <v>3063.11663</v>
      </c>
      <c r="J8" s="29">
        <f t="shared" si="1"/>
        <v>795.32424</v>
      </c>
      <c r="K8" s="29">
        <f>SUM(L8)+'опл. март'!K8</f>
        <v>2750.23563</v>
      </c>
      <c r="L8" s="29">
        <v>692.86473</v>
      </c>
      <c r="M8" s="29">
        <f t="shared" si="2"/>
        <v>2750.23563</v>
      </c>
      <c r="N8" s="29">
        <f>SUM(N12/M12)*M8</f>
        <v>62.87852034450032</v>
      </c>
      <c r="O8" s="29">
        <f t="shared" si="3"/>
        <v>692.86473</v>
      </c>
      <c r="P8" s="29">
        <f t="shared" si="4"/>
        <v>1296.5781299999999</v>
      </c>
      <c r="Q8" s="29">
        <f>SUM(Q12/P12)*P8</f>
        <v>890.6196561753876</v>
      </c>
      <c r="R8" s="29">
        <f>SUM(R12/Q12)*Q8</f>
        <v>405.9584738246122</v>
      </c>
      <c r="S8" s="38">
        <f t="shared" si="6"/>
        <v>0.6796051889474647</v>
      </c>
      <c r="T8" s="38">
        <f t="shared" si="5"/>
        <v>0.3894639725435114</v>
      </c>
    </row>
    <row r="9" spans="1:20" s="2" customFormat="1" ht="21.75" customHeight="1">
      <c r="A9" s="20" t="s">
        <v>58</v>
      </c>
      <c r="B9" s="28">
        <f t="shared" si="0"/>
        <v>573.44926</v>
      </c>
      <c r="C9" s="29">
        <v>426.264749</v>
      </c>
      <c r="D9" s="29">
        <v>147.184511</v>
      </c>
      <c r="E9" s="29">
        <f>SUM('Начисл.2016'!V12)/1000</f>
        <v>1750.4151200000001</v>
      </c>
      <c r="F9" s="29">
        <f>SUM('Начисл.2016'!V11)/1000</f>
        <v>458.21088000000003</v>
      </c>
      <c r="G9" s="29">
        <v>0</v>
      </c>
      <c r="H9" s="29">
        <v>0</v>
      </c>
      <c r="I9" s="29">
        <f t="shared" si="1"/>
        <v>1750.4151200000001</v>
      </c>
      <c r="J9" s="29">
        <f t="shared" si="1"/>
        <v>458.21088000000003</v>
      </c>
      <c r="K9" s="29">
        <f>SUM(L9)+'опл. март'!K9</f>
        <v>1576.8153700000003</v>
      </c>
      <c r="L9" s="29">
        <v>403.01292</v>
      </c>
      <c r="M9" s="29">
        <f t="shared" si="2"/>
        <v>1576.8153700000003</v>
      </c>
      <c r="N9" s="29">
        <f>SUM(N12/M12)*M9</f>
        <v>36.05066280159632</v>
      </c>
      <c r="O9" s="29">
        <f t="shared" si="3"/>
        <v>403.01292</v>
      </c>
      <c r="P9" s="29">
        <f t="shared" si="4"/>
        <v>747.0490099999997</v>
      </c>
      <c r="Q9" s="29">
        <f>SUM(Q12/P12)*P9</f>
        <v>513.1480448712825</v>
      </c>
      <c r="R9" s="29">
        <f>SUM(R12/Q12)*Q9</f>
        <v>233.90096512871725</v>
      </c>
      <c r="S9" s="38">
        <f t="shared" si="6"/>
        <v>0.6785315802293076</v>
      </c>
      <c r="T9" s="38">
        <f t="shared" si="5"/>
        <v>0.3906450432406936</v>
      </c>
    </row>
    <row r="10" spans="1:20" s="2" customFormat="1" ht="20.25" customHeight="1">
      <c r="A10" s="20" t="s">
        <v>59</v>
      </c>
      <c r="B10" s="28">
        <f t="shared" si="0"/>
        <v>0</v>
      </c>
      <c r="C10" s="28">
        <v>0</v>
      </c>
      <c r="D10" s="28">
        <v>0</v>
      </c>
      <c r="E10" s="29">
        <f>SUM('Начисл.2016'!Y12)/1000</f>
        <v>0</v>
      </c>
      <c r="F10" s="29">
        <f>SUM('Начисл.2016'!Y11)/1000</f>
        <v>0</v>
      </c>
      <c r="G10" s="29">
        <v>0</v>
      </c>
      <c r="H10" s="29">
        <v>0</v>
      </c>
      <c r="I10" s="29">
        <f t="shared" si="1"/>
        <v>0</v>
      </c>
      <c r="J10" s="29">
        <f t="shared" si="1"/>
        <v>0</v>
      </c>
      <c r="K10" s="29">
        <f>SUM(L10)+'опл. март'!K10</f>
        <v>0</v>
      </c>
      <c r="L10" s="29">
        <v>0</v>
      </c>
      <c r="M10" s="29">
        <f t="shared" si="2"/>
        <v>0</v>
      </c>
      <c r="N10" s="29">
        <f>SUM(N12/M12)*M10</f>
        <v>0</v>
      </c>
      <c r="O10" s="29">
        <f t="shared" si="3"/>
        <v>0</v>
      </c>
      <c r="P10" s="29">
        <f t="shared" si="4"/>
        <v>0</v>
      </c>
      <c r="Q10" s="29">
        <f>SUM(Q12/P12)*P10</f>
        <v>0</v>
      </c>
      <c r="R10" s="29">
        <f>SUM(P10-Q10)</f>
        <v>0</v>
      </c>
      <c r="S10" s="38">
        <v>0</v>
      </c>
      <c r="T10" s="44">
        <v>0</v>
      </c>
    </row>
    <row r="11" spans="1:20" s="2" customFormat="1" ht="21" customHeight="1">
      <c r="A11" s="20" t="s">
        <v>60</v>
      </c>
      <c r="B11" s="29">
        <f t="shared" si="0"/>
        <v>2394.04652</v>
      </c>
      <c r="C11" s="29">
        <v>1779.577916</v>
      </c>
      <c r="D11" s="29">
        <v>614.468604</v>
      </c>
      <c r="E11" s="29">
        <f>SUM('Начисл.2016'!W12)/1000</f>
        <v>15817.0544</v>
      </c>
      <c r="F11" s="29">
        <f>SUM('Начисл.2016'!W11)/1000</f>
        <v>2544.66998</v>
      </c>
      <c r="G11" s="29">
        <v>0</v>
      </c>
      <c r="H11" s="29">
        <v>0</v>
      </c>
      <c r="I11" s="29">
        <f t="shared" si="1"/>
        <v>15817.0544</v>
      </c>
      <c r="J11" s="29">
        <f t="shared" si="1"/>
        <v>2544.66998</v>
      </c>
      <c r="K11" s="29">
        <f>SUM(L11)+'опл. март'!K11</f>
        <v>14489.01875</v>
      </c>
      <c r="L11" s="29">
        <v>2690.04781</v>
      </c>
      <c r="M11" s="29">
        <f t="shared" si="2"/>
        <v>14489.01875</v>
      </c>
      <c r="N11" s="29">
        <f>SUM(N12/M12)*M11</f>
        <v>331.26182000766295</v>
      </c>
      <c r="O11" s="29">
        <f t="shared" si="3"/>
        <v>2690.04781</v>
      </c>
      <c r="P11" s="29">
        <f t="shared" si="4"/>
        <v>3722.0821700000015</v>
      </c>
      <c r="Q11" s="29">
        <f>SUM(Q12/P12)*P11</f>
        <v>2556.6986406765495</v>
      </c>
      <c r="R11" s="29">
        <f>SUM(R12/Q12)*Q11</f>
        <v>1165.3835293234522</v>
      </c>
      <c r="S11" s="38">
        <f t="shared" si="6"/>
        <v>0.7956146535922881</v>
      </c>
      <c r="T11" s="38">
        <f t="shared" si="5"/>
        <v>0.5446856101175275</v>
      </c>
    </row>
    <row r="12" spans="1:20" s="3" customFormat="1" ht="24" customHeight="1">
      <c r="A12" s="21" t="s">
        <v>61</v>
      </c>
      <c r="B12" s="26">
        <f>SUM(B6)+B7</f>
        <v>5988.27115</v>
      </c>
      <c r="C12" s="27">
        <f>SUM(C6)+C7</f>
        <v>4451.289898999999</v>
      </c>
      <c r="D12" s="27">
        <f>SUM(D6)+D7</f>
        <v>1536.9812510000002</v>
      </c>
      <c r="E12" s="27">
        <f>SUM('Начисл.2016'!AH12)/1000</f>
        <v>29054.909170000003</v>
      </c>
      <c r="F12" s="27">
        <f>SUM('Начисл.2016'!AH11)/1000</f>
        <v>5935.13085</v>
      </c>
      <c r="G12" s="27">
        <v>0</v>
      </c>
      <c r="H12" s="27">
        <v>0</v>
      </c>
      <c r="I12" s="27">
        <f t="shared" si="1"/>
        <v>29054.909170000003</v>
      </c>
      <c r="J12" s="27">
        <f t="shared" si="1"/>
        <v>5935.13085</v>
      </c>
      <c r="K12" s="27">
        <f>SUM('Начисл.2016'!AI12)/1000</f>
        <v>26360.00744</v>
      </c>
      <c r="L12" s="27">
        <f>SUM('Начисл.2016'!AI11)/1000</f>
        <v>5673.526440000001</v>
      </c>
      <c r="M12" s="27">
        <f t="shared" si="2"/>
        <v>26360.00744</v>
      </c>
      <c r="N12" s="27">
        <f>SUM(N37)</f>
        <v>602.66773</v>
      </c>
      <c r="O12" s="27">
        <f t="shared" si="3"/>
        <v>5673.526440000001</v>
      </c>
      <c r="P12" s="27">
        <f t="shared" si="4"/>
        <v>8683.172879999998</v>
      </c>
      <c r="Q12" s="27">
        <f>SUM(Q34)</f>
        <v>5964.47238</v>
      </c>
      <c r="R12" s="27">
        <f>SUM(P12-Q12)</f>
        <v>2718.700499999998</v>
      </c>
      <c r="S12" s="38">
        <f t="shared" si="6"/>
        <v>0.7522150443906971</v>
      </c>
      <c r="T12" s="38">
        <f>SUM((L12)/(J12+B12))</f>
        <v>0.47583117972538386</v>
      </c>
    </row>
    <row r="13" spans="1:20" s="3" customFormat="1" ht="24" customHeight="1">
      <c r="A13" s="49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52"/>
    </row>
    <row r="14" spans="1:20" s="3" customFormat="1" ht="24" customHeight="1">
      <c r="A14" s="49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  <c r="T14" s="52"/>
    </row>
    <row r="16" ht="12.75">
      <c r="A16" t="s">
        <v>34</v>
      </c>
    </row>
    <row r="17" ht="12.75">
      <c r="A17" t="s">
        <v>35</v>
      </c>
    </row>
    <row r="19" ht="12" customHeight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>
      <c r="N26">
        <f>SUM('опл. март'!N26)</f>
        <v>64.25493</v>
      </c>
    </row>
    <row r="27" ht="12.75" hidden="1">
      <c r="N27" s="36">
        <f>SUM('опл.фев.16'!N25)</f>
        <v>122.42421</v>
      </c>
    </row>
    <row r="28" ht="12.75" hidden="1">
      <c r="N28">
        <f>SUM('опл. март'!N28)</f>
        <v>191.12239</v>
      </c>
    </row>
    <row r="29" ht="12.75" hidden="1">
      <c r="N29">
        <v>224.8662</v>
      </c>
    </row>
    <row r="30" ht="12.75" hidden="1">
      <c r="N30">
        <v>0</v>
      </c>
    </row>
    <row r="31" ht="12.75" hidden="1">
      <c r="N31">
        <v>0</v>
      </c>
    </row>
    <row r="32" ht="12.75" hidden="1">
      <c r="N32">
        <v>0</v>
      </c>
    </row>
    <row r="33" ht="12.75" hidden="1">
      <c r="N33">
        <v>0</v>
      </c>
    </row>
    <row r="34" spans="2:19" ht="12.75" hidden="1">
      <c r="B34">
        <f>SUM(B7,B6)</f>
        <v>5988.27115</v>
      </c>
      <c r="C34" s="36">
        <f>SUM(C7,C6)</f>
        <v>4451.289898999999</v>
      </c>
      <c r="D34">
        <f>SUM(D7,D6)</f>
        <v>1536.9812510000002</v>
      </c>
      <c r="E34" s="30">
        <f>SUM(E8:E11,E6)</f>
        <v>29054.909170000003</v>
      </c>
      <c r="F34" s="30">
        <f>SUM(F8:F11,F6)</f>
        <v>5935.13085</v>
      </c>
      <c r="G34" s="31">
        <v>0</v>
      </c>
      <c r="H34" s="31">
        <v>0</v>
      </c>
      <c r="I34" s="30">
        <f>SUM(I8:I11,I6)</f>
        <v>29054.909170000003</v>
      </c>
      <c r="J34" s="30">
        <f>SUM(J8:J11,J6)</f>
        <v>5935.13085</v>
      </c>
      <c r="K34" s="30">
        <f>SUM(K8:K11,K6)</f>
        <v>26360.00744</v>
      </c>
      <c r="L34" s="31">
        <f>SUM('Начисл.2016'!AI11)/1000</f>
        <v>5673.526440000001</v>
      </c>
      <c r="M34" s="31">
        <f>SUM('Начисл.2016'!AI12)/1000</f>
        <v>26360.00744</v>
      </c>
      <c r="N34" s="31">
        <v>0</v>
      </c>
      <c r="O34" s="31">
        <f>SUM('Начисл.2016'!AI11)/1000</f>
        <v>5673.526440000001</v>
      </c>
      <c r="P34" s="33">
        <f>SUM('Начисл.2016'!AJ12)/1000</f>
        <v>8683.113169999999</v>
      </c>
      <c r="Q34" s="33">
        <f>SUM(T43)/1000</f>
        <v>5964.47238</v>
      </c>
      <c r="R34" s="30">
        <f>SUM(R8:R11,R6)</f>
        <v>2718.700499999998</v>
      </c>
      <c r="S34" s="31"/>
    </row>
    <row r="35" spans="2:19" ht="12.75" hidden="1">
      <c r="B35">
        <f>SUM(B8:B11,B6)</f>
        <v>5988.27115</v>
      </c>
      <c r="C35" s="36">
        <f>SUM(C8:C11,C6)</f>
        <v>4451.289898999999</v>
      </c>
      <c r="D35">
        <f>SUM(D8:D11,D6)</f>
        <v>1536.9812510000002</v>
      </c>
      <c r="E35" s="30">
        <f>SUM(E34-E12)</f>
        <v>0</v>
      </c>
      <c r="F35" s="30">
        <f>SUM(F34-F12)</f>
        <v>0</v>
      </c>
      <c r="G35" s="31">
        <v>0</v>
      </c>
      <c r="H35" s="31">
        <v>0</v>
      </c>
      <c r="I35" s="30">
        <f>SUM(I12-I34)</f>
        <v>0</v>
      </c>
      <c r="J35" s="30">
        <f aca="true" t="shared" si="7" ref="J35:R35">SUM(J12-J34)</f>
        <v>0</v>
      </c>
      <c r="K35" s="30">
        <f t="shared" si="7"/>
        <v>0</v>
      </c>
      <c r="L35" s="31"/>
      <c r="M35" s="30">
        <f t="shared" si="7"/>
        <v>0</v>
      </c>
      <c r="N35" s="31">
        <v>0</v>
      </c>
      <c r="O35" s="30">
        <f t="shared" si="7"/>
        <v>0</v>
      </c>
      <c r="P35" s="33">
        <f>SUM(P7,P6)</f>
        <v>8683.172879999998</v>
      </c>
      <c r="Q35" s="30">
        <f t="shared" si="7"/>
        <v>0</v>
      </c>
      <c r="R35" s="30">
        <f t="shared" si="7"/>
        <v>0</v>
      </c>
      <c r="S35" s="31"/>
    </row>
    <row r="36" spans="5:19" ht="12.75" hidden="1">
      <c r="E36" s="31"/>
      <c r="F36" s="31"/>
      <c r="G36" s="31"/>
      <c r="H36" s="31"/>
      <c r="I36" s="31"/>
      <c r="J36" s="31"/>
      <c r="K36" s="31"/>
      <c r="L36" s="31">
        <f>SUM(L34-L35)</f>
        <v>5673.526440000001</v>
      </c>
      <c r="M36" s="31"/>
      <c r="N36" s="31">
        <v>0</v>
      </c>
      <c r="O36" s="31"/>
      <c r="P36" s="33">
        <f>SUM(P34-P35)</f>
        <v>-0.05970999999954074</v>
      </c>
      <c r="Q36" s="33">
        <f>SUM(Q7,Q6)</f>
        <v>5964.47238</v>
      </c>
      <c r="R36" s="31"/>
      <c r="S36" s="31"/>
    </row>
    <row r="37" spans="5:19" ht="12.75" hidden="1">
      <c r="E37" s="31"/>
      <c r="F37" s="31"/>
      <c r="G37" s="31"/>
      <c r="H37" s="31"/>
      <c r="I37" s="31"/>
      <c r="J37" s="31"/>
      <c r="K37" s="31"/>
      <c r="L37" s="31"/>
      <c r="M37" s="31"/>
      <c r="N37" s="31">
        <f>SUM(N25:N36)</f>
        <v>602.66773</v>
      </c>
      <c r="O37" s="31"/>
      <c r="P37" s="31"/>
      <c r="Q37" s="31"/>
      <c r="R37" s="31"/>
      <c r="S37" s="31"/>
    </row>
    <row r="38" spans="5:19" ht="12.75" hidden="1">
      <c r="E38" s="31"/>
      <c r="F38" s="31"/>
      <c r="G38" s="31"/>
      <c r="H38" s="31"/>
      <c r="I38" s="31"/>
      <c r="J38" s="31"/>
      <c r="K38" s="31"/>
      <c r="L38" s="31"/>
      <c r="M38" s="31"/>
      <c r="N38" s="32"/>
      <c r="O38" s="31"/>
      <c r="P38" s="31"/>
      <c r="Q38" s="31"/>
      <c r="R38" s="31"/>
      <c r="S38" s="31"/>
    </row>
    <row r="39" spans="5:19" ht="12.75" hidden="1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5:19" ht="12.75" hidden="1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ht="12.75" hidden="1"/>
    <row r="42" ht="12.75" hidden="1">
      <c r="T42" s="31" t="s">
        <v>3</v>
      </c>
    </row>
    <row r="43" spans="19:20" ht="12.75" hidden="1">
      <c r="S43">
        <f>SUM(T43:W43)</f>
        <v>5964472.38</v>
      </c>
      <c r="T43" s="91">
        <v>5964472.38</v>
      </c>
    </row>
    <row r="44" ht="12.75" hidden="1"/>
    <row r="45" ht="12.75" hidden="1"/>
  </sheetData>
  <sheetProtection/>
  <mergeCells count="26">
    <mergeCell ref="A1:T1"/>
    <mergeCell ref="A3:A5"/>
    <mergeCell ref="B3:D3"/>
    <mergeCell ref="E3:F3"/>
    <mergeCell ref="G3:H3"/>
    <mergeCell ref="I3:J3"/>
    <mergeCell ref="K3:L3"/>
    <mergeCell ref="M3:O3"/>
    <mergeCell ref="P3:R3"/>
    <mergeCell ref="S3:T3"/>
    <mergeCell ref="B4:B5"/>
    <mergeCell ref="C4:D4"/>
    <mergeCell ref="E4:E5"/>
    <mergeCell ref="F4:F5"/>
    <mergeCell ref="G4:G5"/>
    <mergeCell ref="H4:H5"/>
    <mergeCell ref="P4:P5"/>
    <mergeCell ref="Q4:R4"/>
    <mergeCell ref="S4:S5"/>
    <mergeCell ref="T4:T5"/>
    <mergeCell ref="I4:I5"/>
    <mergeCell ref="J4:J5"/>
    <mergeCell ref="K4:K5"/>
    <mergeCell ref="L4:L5"/>
    <mergeCell ref="M4:N4"/>
    <mergeCell ref="O4:O5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0">
      <selection activeCell="S43" sqref="S43:T44"/>
    </sheetView>
  </sheetViews>
  <sheetFormatPr defaultColWidth="9.140625" defaultRowHeight="12.75"/>
  <cols>
    <col min="1" max="1" width="21.7109375" style="0" customWidth="1"/>
    <col min="2" max="4" width="7.00390625" style="0" customWidth="1"/>
    <col min="5" max="5" width="7.57421875" style="0" customWidth="1"/>
    <col min="6" max="6" width="7.421875" style="0" customWidth="1"/>
    <col min="7" max="7" width="5.140625" style="0" hidden="1" customWidth="1"/>
    <col min="8" max="8" width="4.8515625" style="0" hidden="1" customWidth="1"/>
    <col min="9" max="9" width="8.140625" style="0" customWidth="1"/>
    <col min="10" max="10" width="6.8515625" style="0" customWidth="1"/>
    <col min="11" max="11" width="7.8515625" style="0" customWidth="1"/>
    <col min="12" max="12" width="7.28125" style="0" customWidth="1"/>
    <col min="13" max="13" width="8.421875" style="0" customWidth="1"/>
    <col min="14" max="14" width="8.28125" style="0" customWidth="1"/>
    <col min="15" max="15" width="7.421875" style="0" customWidth="1"/>
    <col min="16" max="16" width="7.00390625" style="0" customWidth="1"/>
    <col min="17" max="18" width="6.8515625" style="0" customWidth="1"/>
    <col min="19" max="19" width="9.421875" style="0" customWidth="1"/>
    <col min="20" max="20" width="9.140625" style="0" customWidth="1"/>
  </cols>
  <sheetData>
    <row r="1" spans="1:20" s="48" customFormat="1" ht="12.75">
      <c r="A1" s="109" t="s">
        <v>104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3" spans="1:20" s="2" customFormat="1" ht="77.25" customHeight="1">
      <c r="A3" s="107" t="s">
        <v>40</v>
      </c>
      <c r="B3" s="107" t="s">
        <v>41</v>
      </c>
      <c r="C3" s="107"/>
      <c r="D3" s="107"/>
      <c r="E3" s="107" t="s">
        <v>42</v>
      </c>
      <c r="F3" s="107"/>
      <c r="G3" s="107" t="s">
        <v>43</v>
      </c>
      <c r="H3" s="107"/>
      <c r="I3" s="107" t="s">
        <v>44</v>
      </c>
      <c r="J3" s="107"/>
      <c r="K3" s="107" t="s">
        <v>45</v>
      </c>
      <c r="L3" s="107"/>
      <c r="M3" s="107" t="s">
        <v>46</v>
      </c>
      <c r="N3" s="107"/>
      <c r="O3" s="107"/>
      <c r="P3" s="107" t="s">
        <v>47</v>
      </c>
      <c r="Q3" s="107"/>
      <c r="R3" s="107"/>
      <c r="S3" s="107" t="s">
        <v>64</v>
      </c>
      <c r="T3" s="107"/>
    </row>
    <row r="4" spans="1:20" s="2" customFormat="1" ht="28.5" customHeight="1">
      <c r="A4" s="107"/>
      <c r="B4" s="107" t="s">
        <v>33</v>
      </c>
      <c r="C4" s="107" t="s">
        <v>15</v>
      </c>
      <c r="D4" s="107"/>
      <c r="E4" s="108" t="s">
        <v>48</v>
      </c>
      <c r="F4" s="108" t="s">
        <v>49</v>
      </c>
      <c r="G4" s="108" t="s">
        <v>48</v>
      </c>
      <c r="H4" s="108" t="s">
        <v>49</v>
      </c>
      <c r="I4" s="108" t="s">
        <v>48</v>
      </c>
      <c r="J4" s="108" t="s">
        <v>49</v>
      </c>
      <c r="K4" s="108" t="s">
        <v>48</v>
      </c>
      <c r="L4" s="108" t="s">
        <v>49</v>
      </c>
      <c r="M4" s="107" t="s">
        <v>50</v>
      </c>
      <c r="N4" s="107"/>
      <c r="O4" s="108" t="s">
        <v>51</v>
      </c>
      <c r="P4" s="107" t="s">
        <v>33</v>
      </c>
      <c r="Q4" s="107" t="s">
        <v>15</v>
      </c>
      <c r="R4" s="107"/>
      <c r="S4" s="108" t="s">
        <v>62</v>
      </c>
      <c r="T4" s="108" t="s">
        <v>63</v>
      </c>
    </row>
    <row r="5" spans="1:20" s="2" customFormat="1" ht="103.5" customHeight="1">
      <c r="A5" s="107"/>
      <c r="B5" s="107"/>
      <c r="C5" s="22" t="s">
        <v>52</v>
      </c>
      <c r="D5" s="22" t="s">
        <v>53</v>
      </c>
      <c r="E5" s="108"/>
      <c r="F5" s="108"/>
      <c r="G5" s="108"/>
      <c r="H5" s="108"/>
      <c r="I5" s="108"/>
      <c r="J5" s="108"/>
      <c r="K5" s="108"/>
      <c r="L5" s="108"/>
      <c r="M5" s="1" t="s">
        <v>33</v>
      </c>
      <c r="N5" s="23" t="s">
        <v>54</v>
      </c>
      <c r="O5" s="108"/>
      <c r="P5" s="107"/>
      <c r="Q5" s="22" t="s">
        <v>52</v>
      </c>
      <c r="R5" s="22" t="s">
        <v>53</v>
      </c>
      <c r="S5" s="108"/>
      <c r="T5" s="108"/>
    </row>
    <row r="6" spans="1:20" s="3" customFormat="1" ht="24.75" customHeight="1">
      <c r="A6" s="21" t="s">
        <v>55</v>
      </c>
      <c r="B6" s="26">
        <f aca="true" t="shared" si="0" ref="B6:B11">SUM(C6:D6)</f>
        <v>2037.0782399999998</v>
      </c>
      <c r="C6" s="26">
        <v>1514.230997</v>
      </c>
      <c r="D6" s="27">
        <v>522.847243</v>
      </c>
      <c r="E6" s="27">
        <f>SUM(E12-E7)</f>
        <v>10551.326779999996</v>
      </c>
      <c r="F6" s="27">
        <f>SUM(F12-F7)</f>
        <v>2127.0037599999996</v>
      </c>
      <c r="G6" s="27">
        <v>0</v>
      </c>
      <c r="H6" s="27">
        <v>0</v>
      </c>
      <c r="I6" s="27">
        <f aca="true" t="shared" si="1" ref="I6:J12">SUM(E6-G6)</f>
        <v>10551.326779999996</v>
      </c>
      <c r="J6" s="27">
        <f t="shared" si="1"/>
        <v>2127.0037599999996</v>
      </c>
      <c r="K6" s="27">
        <f>SUM(L6)+'опл. апр.'!K6</f>
        <v>9746.669730000001</v>
      </c>
      <c r="L6" s="27">
        <f>SUM(L12-L7)</f>
        <v>2202.73204</v>
      </c>
      <c r="M6" s="27">
        <f aca="true" t="shared" si="2" ref="M6:M12">SUM(K6)</f>
        <v>9746.669730000001</v>
      </c>
      <c r="N6" s="27">
        <f>SUM(N12-N7)</f>
        <v>224.8863810115048</v>
      </c>
      <c r="O6" s="27">
        <f aca="true" t="shared" si="3" ref="O6:O12">SUM(L6)</f>
        <v>2202.73204</v>
      </c>
      <c r="P6" s="27">
        <f aca="true" t="shared" si="4" ref="P6:P12">SUM(B6+E6-K6)</f>
        <v>2841.7352899999933</v>
      </c>
      <c r="Q6" s="27">
        <f>SUM(Q12-Q7)</f>
        <v>2300.567472381429</v>
      </c>
      <c r="R6" s="27">
        <f>SUM(R12-R7)</f>
        <v>541.167817618569</v>
      </c>
      <c r="S6" s="38">
        <f>SUM((K6)/(B6+E6))</f>
        <v>0.7742577168842956</v>
      </c>
      <c r="T6" s="38">
        <f aca="true" t="shared" si="5" ref="T6:T11">SUM((L6)/(J6+B6))</f>
        <v>0.5289838288487114</v>
      </c>
    </row>
    <row r="7" spans="1:20" s="3" customFormat="1" ht="41.25" customHeight="1">
      <c r="A7" s="21" t="s">
        <v>56</v>
      </c>
      <c r="B7" s="26">
        <f t="shared" si="0"/>
        <v>3951.1929099999998</v>
      </c>
      <c r="C7" s="27">
        <f>SUM(C8:C11)</f>
        <v>2937.0589019999998</v>
      </c>
      <c r="D7" s="27">
        <f>SUM(D8:D11)</f>
        <v>1014.134008</v>
      </c>
      <c r="E7" s="27">
        <f>SUM(E8:E11)</f>
        <v>21952.929900000003</v>
      </c>
      <c r="F7" s="27">
        <f>SUM(F8:F11)</f>
        <v>1322.34375</v>
      </c>
      <c r="G7" s="27">
        <v>0</v>
      </c>
      <c r="H7" s="27">
        <v>0</v>
      </c>
      <c r="I7" s="27">
        <f t="shared" si="1"/>
        <v>21952.929900000003</v>
      </c>
      <c r="J7" s="27">
        <f t="shared" si="1"/>
        <v>1322.34375</v>
      </c>
      <c r="K7" s="27">
        <f>SUM(L7)+'опл. апр.'!K7</f>
        <v>21741.3808</v>
      </c>
      <c r="L7" s="27">
        <f>SUM(L8:L11)</f>
        <v>2925.3110500000003</v>
      </c>
      <c r="M7" s="27">
        <f t="shared" si="2"/>
        <v>21741.3808</v>
      </c>
      <c r="N7" s="27">
        <f>SUM(N12/M12)*M7</f>
        <v>501.6421589884952</v>
      </c>
      <c r="O7" s="27">
        <f t="shared" si="3"/>
        <v>2925.3110500000003</v>
      </c>
      <c r="P7" s="27">
        <f t="shared" si="4"/>
        <v>4162.742010000002</v>
      </c>
      <c r="Q7" s="27">
        <f>SUM(Q8:Q11)</f>
        <v>3370.007367618571</v>
      </c>
      <c r="R7" s="27">
        <f>SUM(R8:R11)</f>
        <v>792.7346423814295</v>
      </c>
      <c r="S7" s="38">
        <f aca="true" t="shared" si="6" ref="S7:S12">SUM((K7)/(B7+E7))</f>
        <v>0.839301950483611</v>
      </c>
      <c r="T7" s="38">
        <f t="shared" si="5"/>
        <v>0.554715220278757</v>
      </c>
    </row>
    <row r="8" spans="1:20" s="2" customFormat="1" ht="24.75" customHeight="1">
      <c r="A8" s="20" t="s">
        <v>57</v>
      </c>
      <c r="B8" s="28">
        <f t="shared" si="0"/>
        <v>983.69713</v>
      </c>
      <c r="C8" s="29">
        <v>731.216237</v>
      </c>
      <c r="D8" s="29">
        <v>252.480893</v>
      </c>
      <c r="E8" s="29">
        <f>SUM('Начисл.2016'!U14)/1000</f>
        <v>3797.61663</v>
      </c>
      <c r="F8" s="29">
        <f>SUM('Начисл.2016'!U13)/1000</f>
        <v>734.5</v>
      </c>
      <c r="G8" s="29">
        <v>0</v>
      </c>
      <c r="H8" s="29">
        <v>0</v>
      </c>
      <c r="I8" s="29">
        <f t="shared" si="1"/>
        <v>3797.61663</v>
      </c>
      <c r="J8" s="29">
        <f t="shared" si="1"/>
        <v>734.5</v>
      </c>
      <c r="K8" s="29">
        <f>SUM(L8)+'опл. апр.'!K8</f>
        <v>3514.86928</v>
      </c>
      <c r="L8" s="29">
        <v>764.63365</v>
      </c>
      <c r="M8" s="29">
        <f t="shared" si="2"/>
        <v>3514.86928</v>
      </c>
      <c r="N8" s="29">
        <f>SUM(N12/M12)*M8</f>
        <v>81.09910913209053</v>
      </c>
      <c r="O8" s="29">
        <f t="shared" si="3"/>
        <v>764.63365</v>
      </c>
      <c r="P8" s="29">
        <f t="shared" si="4"/>
        <v>1266.44448</v>
      </c>
      <c r="Q8" s="29">
        <f>SUM(Q12/P12)*P8</f>
        <v>1025.2682529993901</v>
      </c>
      <c r="R8" s="29">
        <f>SUM(R12/Q12)*Q8</f>
        <v>241.1762270006099</v>
      </c>
      <c r="S8" s="38">
        <f t="shared" si="6"/>
        <v>0.7351262553411679</v>
      </c>
      <c r="T8" s="38">
        <f t="shared" si="5"/>
        <v>0.4450209097951409</v>
      </c>
    </row>
    <row r="9" spans="1:20" s="2" customFormat="1" ht="21.75" customHeight="1">
      <c r="A9" s="20" t="s">
        <v>58</v>
      </c>
      <c r="B9" s="28">
        <f t="shared" si="0"/>
        <v>573.44926</v>
      </c>
      <c r="C9" s="29">
        <v>426.264749</v>
      </c>
      <c r="D9" s="29">
        <v>147.184511</v>
      </c>
      <c r="E9" s="29">
        <f>SUM('Начисл.2016'!V14)/1000</f>
        <v>2182.78566</v>
      </c>
      <c r="F9" s="29">
        <f>SUM('Начисл.2016'!V13)/1000</f>
        <v>432.37054</v>
      </c>
      <c r="G9" s="29">
        <v>0</v>
      </c>
      <c r="H9" s="29">
        <v>0</v>
      </c>
      <c r="I9" s="29">
        <f t="shared" si="1"/>
        <v>2182.78566</v>
      </c>
      <c r="J9" s="29">
        <f t="shared" si="1"/>
        <v>432.37054</v>
      </c>
      <c r="K9" s="29">
        <f>SUM(L9)+'опл. апр.'!K9</f>
        <v>2017.7531600000002</v>
      </c>
      <c r="L9" s="29">
        <v>440.93779</v>
      </c>
      <c r="M9" s="29">
        <f t="shared" si="2"/>
        <v>2017.7531600000002</v>
      </c>
      <c r="N9" s="29">
        <f>SUM(N12/M12)*M9</f>
        <v>46.555923048284896</v>
      </c>
      <c r="O9" s="29">
        <f t="shared" si="3"/>
        <v>440.93779</v>
      </c>
      <c r="P9" s="29">
        <f t="shared" si="4"/>
        <v>738.4817599999997</v>
      </c>
      <c r="Q9" s="29">
        <f>SUM(Q12/P12)*P9</f>
        <v>597.8484772953605</v>
      </c>
      <c r="R9" s="29">
        <f>SUM(R12/Q12)*Q9</f>
        <v>140.63328270463927</v>
      </c>
      <c r="S9" s="38">
        <f t="shared" si="6"/>
        <v>0.7320686438440451</v>
      </c>
      <c r="T9" s="38">
        <f t="shared" si="5"/>
        <v>0.43838646843102513</v>
      </c>
    </row>
    <row r="10" spans="1:20" s="2" customFormat="1" ht="20.25" customHeight="1">
      <c r="A10" s="20" t="s">
        <v>59</v>
      </c>
      <c r="B10" s="28">
        <f t="shared" si="0"/>
        <v>0</v>
      </c>
      <c r="C10" s="28">
        <v>0</v>
      </c>
      <c r="D10" s="28">
        <v>0</v>
      </c>
      <c r="E10" s="29">
        <f>SUM('Начисл.2016'!Y14)/1000</f>
        <v>0</v>
      </c>
      <c r="F10" s="29">
        <f>SUM('Начисл.2016'!Y13)/1000</f>
        <v>0</v>
      </c>
      <c r="G10" s="29">
        <v>0</v>
      </c>
      <c r="H10" s="29">
        <v>0</v>
      </c>
      <c r="I10" s="29">
        <f t="shared" si="1"/>
        <v>0</v>
      </c>
      <c r="J10" s="29">
        <f t="shared" si="1"/>
        <v>0</v>
      </c>
      <c r="K10" s="29">
        <f>SUM(L10)+'опл. апр.'!K10</f>
        <v>0</v>
      </c>
      <c r="L10" s="29">
        <v>0</v>
      </c>
      <c r="M10" s="29">
        <f t="shared" si="2"/>
        <v>0</v>
      </c>
      <c r="N10" s="29">
        <f>SUM(N12/M12)*M10</f>
        <v>0</v>
      </c>
      <c r="O10" s="29">
        <f t="shared" si="3"/>
        <v>0</v>
      </c>
      <c r="P10" s="29">
        <f t="shared" si="4"/>
        <v>0</v>
      </c>
      <c r="Q10" s="29">
        <f>SUM(Q12/P12)*P10</f>
        <v>0</v>
      </c>
      <c r="R10" s="29">
        <f>SUM(P10-Q10)</f>
        <v>0</v>
      </c>
      <c r="S10" s="38">
        <v>0</v>
      </c>
      <c r="T10" s="44">
        <v>0</v>
      </c>
    </row>
    <row r="11" spans="1:20" s="2" customFormat="1" ht="21" customHeight="1">
      <c r="A11" s="20" t="s">
        <v>60</v>
      </c>
      <c r="B11" s="29">
        <f t="shared" si="0"/>
        <v>2394.04652</v>
      </c>
      <c r="C11" s="29">
        <v>1779.577916</v>
      </c>
      <c r="D11" s="29">
        <v>614.468604</v>
      </c>
      <c r="E11" s="29">
        <f>SUM('Начисл.2016'!W14)/1000</f>
        <v>15972.527610000001</v>
      </c>
      <c r="F11" s="29">
        <f>SUM('Начисл.2016'!W13)/1000</f>
        <v>155.47321</v>
      </c>
      <c r="G11" s="29">
        <v>0</v>
      </c>
      <c r="H11" s="29">
        <v>0</v>
      </c>
      <c r="I11" s="29">
        <f t="shared" si="1"/>
        <v>15972.527610000001</v>
      </c>
      <c r="J11" s="29">
        <f t="shared" si="1"/>
        <v>155.47321</v>
      </c>
      <c r="K11" s="29">
        <f>SUM(L11)+'опл. апр.'!K11</f>
        <v>16208.75836</v>
      </c>
      <c r="L11" s="29">
        <v>1719.73961</v>
      </c>
      <c r="M11" s="29">
        <f t="shared" si="2"/>
        <v>16208.75836</v>
      </c>
      <c r="N11" s="29">
        <f>SUM(N12/M12)*M11</f>
        <v>373.9871268081198</v>
      </c>
      <c r="O11" s="29">
        <f t="shared" si="3"/>
        <v>1719.73961</v>
      </c>
      <c r="P11" s="29">
        <f t="shared" si="4"/>
        <v>2157.815770000001</v>
      </c>
      <c r="Q11" s="29">
        <f>SUM(Q12/P12)*P11</f>
        <v>1746.8906373238208</v>
      </c>
      <c r="R11" s="29">
        <f>SUM(R12/Q12)*Q11</f>
        <v>410.9251326761803</v>
      </c>
      <c r="S11" s="38">
        <f t="shared" si="6"/>
        <v>0.8825139759474566</v>
      </c>
      <c r="T11" s="38">
        <f t="shared" si="5"/>
        <v>0.6745347328612358</v>
      </c>
    </row>
    <row r="12" spans="1:20" s="3" customFormat="1" ht="24" customHeight="1">
      <c r="A12" s="21" t="s">
        <v>61</v>
      </c>
      <c r="B12" s="26">
        <f>SUM(B6)+B7</f>
        <v>5988.27115</v>
      </c>
      <c r="C12" s="27">
        <f>SUM(C6)+C7</f>
        <v>4451.289898999999</v>
      </c>
      <c r="D12" s="27">
        <f>SUM(D6)+D7</f>
        <v>1536.9812510000002</v>
      </c>
      <c r="E12" s="27">
        <f>SUM('Начисл.2016'!AH14)/1000</f>
        <v>32504.25668</v>
      </c>
      <c r="F12" s="27">
        <f>SUM('Начисл.2016'!AH13)/1000</f>
        <v>3449.3475099999996</v>
      </c>
      <c r="G12" s="27">
        <v>0</v>
      </c>
      <c r="H12" s="27">
        <v>0</v>
      </c>
      <c r="I12" s="27">
        <f t="shared" si="1"/>
        <v>32504.25668</v>
      </c>
      <c r="J12" s="27">
        <f t="shared" si="1"/>
        <v>3449.3475099999996</v>
      </c>
      <c r="K12" s="27">
        <f>SUM('Начисл.2016'!AI14)/1000</f>
        <v>31488.05053</v>
      </c>
      <c r="L12" s="53">
        <f>SUM('Начисл.2016'!AI13)/1000</f>
        <v>5128.04309</v>
      </c>
      <c r="M12" s="27">
        <f t="shared" si="2"/>
        <v>31488.05053</v>
      </c>
      <c r="N12" s="27">
        <f>SUM(N37)</f>
        <v>726.52854</v>
      </c>
      <c r="O12" s="27">
        <f t="shared" si="3"/>
        <v>5128.04309</v>
      </c>
      <c r="P12" s="27">
        <f t="shared" si="4"/>
        <v>7004.477299999999</v>
      </c>
      <c r="Q12" s="27">
        <f>SUM(Q34)</f>
        <v>5670.57484</v>
      </c>
      <c r="R12" s="27">
        <f>SUM(P12-Q12)</f>
        <v>1333.9024599999984</v>
      </c>
      <c r="S12" s="38">
        <f t="shared" si="6"/>
        <v>0.8180302075526226</v>
      </c>
      <c r="T12" s="38">
        <f>SUM((L12)/(J12+B12))</f>
        <v>0.5433619724151898</v>
      </c>
    </row>
    <row r="13" spans="1:20" s="3" customFormat="1" ht="24" customHeight="1">
      <c r="A13" s="49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52"/>
    </row>
    <row r="14" spans="1:20" s="3" customFormat="1" ht="24" customHeight="1">
      <c r="A14" s="49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  <c r="T14" s="52"/>
    </row>
    <row r="16" ht="12.75">
      <c r="A16" t="s">
        <v>34</v>
      </c>
    </row>
    <row r="17" ht="12.75">
      <c r="A17" t="s">
        <v>35</v>
      </c>
    </row>
    <row r="23" ht="0.75" customHeight="1"/>
    <row r="24" ht="12.75" hidden="1"/>
    <row r="25" ht="12.75" hidden="1"/>
    <row r="26" ht="12.75" hidden="1">
      <c r="N26">
        <f>SUM('опл. апр.'!N26)</f>
        <v>64.25493</v>
      </c>
    </row>
    <row r="27" ht="12.75" hidden="1">
      <c r="N27" s="36">
        <f>SUM('опл.фев.16'!N25)</f>
        <v>122.42421</v>
      </c>
    </row>
    <row r="28" ht="12.75" hidden="1">
      <c r="N28">
        <f>SUM('опл. март'!N28)</f>
        <v>191.12239</v>
      </c>
    </row>
    <row r="29" ht="12.75" hidden="1">
      <c r="N29">
        <f>SUM('опл. апр.'!N29)</f>
        <v>224.8662</v>
      </c>
    </row>
    <row r="30" ht="12.75" hidden="1">
      <c r="N30">
        <v>123.86081</v>
      </c>
    </row>
    <row r="31" ht="12.75" hidden="1">
      <c r="N31">
        <v>0</v>
      </c>
    </row>
    <row r="32" ht="12.75" hidden="1">
      <c r="N32">
        <v>0</v>
      </c>
    </row>
    <row r="33" ht="12.75" hidden="1">
      <c r="N33">
        <v>0</v>
      </c>
    </row>
    <row r="34" spans="2:19" ht="12.75" hidden="1">
      <c r="B34">
        <f>SUM(B7,B6)</f>
        <v>5988.27115</v>
      </c>
      <c r="C34" s="36">
        <f>SUM(C7,C6)</f>
        <v>4451.289898999999</v>
      </c>
      <c r="D34">
        <f>SUM(D7,D6)</f>
        <v>1536.9812510000002</v>
      </c>
      <c r="E34" s="30">
        <f>SUM(E8:E11,E6)</f>
        <v>32504.25668</v>
      </c>
      <c r="F34" s="30">
        <f>SUM(F8:F11,F6)</f>
        <v>3449.3475099999996</v>
      </c>
      <c r="G34" s="31">
        <v>0</v>
      </c>
      <c r="H34" s="31">
        <v>0</v>
      </c>
      <c r="I34" s="30">
        <f>SUM(I8:I11,I6)</f>
        <v>32504.25668</v>
      </c>
      <c r="J34" s="30">
        <f>SUM(J8:J11,J6)</f>
        <v>3449.3475099999996</v>
      </c>
      <c r="K34" s="30">
        <f>SUM(K8:K11,K6)</f>
        <v>31488.05053</v>
      </c>
      <c r="L34" s="31">
        <f>SUM('Начисл.2016'!AI13)/1000</f>
        <v>5128.04309</v>
      </c>
      <c r="M34" s="31">
        <f>SUM('Начисл.2016'!AI14)/1000</f>
        <v>31488.05053</v>
      </c>
      <c r="N34" s="31">
        <v>0</v>
      </c>
      <c r="O34" s="31">
        <f>SUM('Начисл.2016'!AI13)/1000</f>
        <v>5128.04309</v>
      </c>
      <c r="P34" s="33">
        <f>SUM('Начисл.2016'!AJ13)/1000</f>
        <v>7004.417590000002</v>
      </c>
      <c r="Q34" s="33">
        <f>SUM(T43)/1000</f>
        <v>5670.57484</v>
      </c>
      <c r="R34" s="30">
        <f>SUM(R8:R11,R6)</f>
        <v>1333.9024599999984</v>
      </c>
      <c r="S34" s="31"/>
    </row>
    <row r="35" spans="2:19" ht="12.75" hidden="1">
      <c r="B35">
        <f>SUM(B8:B11,B6)</f>
        <v>5988.27115</v>
      </c>
      <c r="C35" s="36">
        <f>SUM(C8:C11,C6)</f>
        <v>4451.289898999999</v>
      </c>
      <c r="D35">
        <f>SUM(D8:D11,D6)</f>
        <v>1536.9812510000002</v>
      </c>
      <c r="E35" s="30">
        <f>SUM(E34-E12)</f>
        <v>0</v>
      </c>
      <c r="F35" s="30">
        <f>SUM(F34-F12)</f>
        <v>0</v>
      </c>
      <c r="G35" s="31">
        <v>0</v>
      </c>
      <c r="H35" s="31">
        <v>0</v>
      </c>
      <c r="I35" s="30">
        <f>SUM(I12-I34)</f>
        <v>0</v>
      </c>
      <c r="J35" s="30">
        <f aca="true" t="shared" si="7" ref="J35:R35">SUM(J12-J34)</f>
        <v>0</v>
      </c>
      <c r="K35" s="30">
        <f t="shared" si="7"/>
        <v>0</v>
      </c>
      <c r="L35" s="31"/>
      <c r="M35" s="30">
        <f t="shared" si="7"/>
        <v>0</v>
      </c>
      <c r="N35" s="31">
        <v>0</v>
      </c>
      <c r="O35" s="30">
        <f t="shared" si="7"/>
        <v>0</v>
      </c>
      <c r="P35" s="33">
        <f>SUM(P7,P6)</f>
        <v>7004.477299999995</v>
      </c>
      <c r="Q35" s="30">
        <f t="shared" si="7"/>
        <v>0</v>
      </c>
      <c r="R35" s="30">
        <f t="shared" si="7"/>
        <v>0</v>
      </c>
      <c r="S35" s="31"/>
    </row>
    <row r="36" spans="5:19" ht="12.75" hidden="1">
      <c r="E36" s="31"/>
      <c r="F36" s="31"/>
      <c r="G36" s="31"/>
      <c r="H36" s="31"/>
      <c r="I36" s="31"/>
      <c r="J36" s="31"/>
      <c r="K36" s="31"/>
      <c r="L36" s="31">
        <f>SUM(L34-L35)</f>
        <v>5128.04309</v>
      </c>
      <c r="M36" s="31"/>
      <c r="N36" s="31">
        <v>0</v>
      </c>
      <c r="O36" s="31"/>
      <c r="P36" s="33">
        <f>SUM(P34-P35)</f>
        <v>-0.05970999999317428</v>
      </c>
      <c r="Q36" s="33">
        <f>SUM(Q7,Q6)</f>
        <v>5670.57484</v>
      </c>
      <c r="R36" s="31"/>
      <c r="S36" s="31"/>
    </row>
    <row r="37" spans="5:19" ht="12.75" hidden="1">
      <c r="E37" s="31"/>
      <c r="F37" s="31"/>
      <c r="G37" s="31"/>
      <c r="H37" s="31"/>
      <c r="I37" s="31"/>
      <c r="J37" s="31"/>
      <c r="K37" s="31"/>
      <c r="L37" s="31"/>
      <c r="M37" s="31"/>
      <c r="N37" s="31">
        <f>SUM(N25:N36)</f>
        <v>726.52854</v>
      </c>
      <c r="O37" s="31"/>
      <c r="P37" s="31"/>
      <c r="Q37" s="31"/>
      <c r="R37" s="31"/>
      <c r="S37" s="31"/>
    </row>
    <row r="38" spans="5:19" ht="12.75" hidden="1">
      <c r="E38" s="31"/>
      <c r="F38" s="31"/>
      <c r="G38" s="31"/>
      <c r="H38" s="31"/>
      <c r="I38" s="31"/>
      <c r="J38" s="31"/>
      <c r="K38" s="31"/>
      <c r="L38" s="31"/>
      <c r="M38" s="31"/>
      <c r="N38" s="32"/>
      <c r="O38" s="31"/>
      <c r="P38" s="31"/>
      <c r="Q38" s="31"/>
      <c r="R38" s="31"/>
      <c r="S38" s="31"/>
    </row>
    <row r="39" spans="5:19" ht="12.75" hidden="1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5:19" ht="12.75" hidden="1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ht="12.75" hidden="1"/>
    <row r="42" ht="12.75" hidden="1">
      <c r="T42" s="31" t="s">
        <v>3</v>
      </c>
    </row>
    <row r="43" spans="18:20" ht="12.75" hidden="1">
      <c r="R43" t="s">
        <v>98</v>
      </c>
      <c r="S43">
        <f>SUM(T43:W43)</f>
        <v>5670574.84</v>
      </c>
      <c r="T43" s="91">
        <v>5670574.84</v>
      </c>
    </row>
    <row r="44" spans="18:20" ht="12.75" hidden="1">
      <c r="R44" t="s">
        <v>99</v>
      </c>
      <c r="T44" s="83">
        <v>1102532.09</v>
      </c>
    </row>
    <row r="45" ht="12.75" hidden="1"/>
  </sheetData>
  <sheetProtection/>
  <mergeCells count="26">
    <mergeCell ref="B4:B5"/>
    <mergeCell ref="A1:T1"/>
    <mergeCell ref="A3:A5"/>
    <mergeCell ref="B3:D3"/>
    <mergeCell ref="E3:F3"/>
    <mergeCell ref="G3:H3"/>
    <mergeCell ref="I3:J3"/>
    <mergeCell ref="S3:T3"/>
    <mergeCell ref="K3:L3"/>
    <mergeCell ref="M3:O3"/>
    <mergeCell ref="P3:R3"/>
    <mergeCell ref="C4:D4"/>
    <mergeCell ref="E4:E5"/>
    <mergeCell ref="F4:F5"/>
    <mergeCell ref="G4:G5"/>
    <mergeCell ref="H4:H5"/>
    <mergeCell ref="I4:I5"/>
    <mergeCell ref="Q4:R4"/>
    <mergeCell ref="S4:S5"/>
    <mergeCell ref="T4:T5"/>
    <mergeCell ref="J4:J5"/>
    <mergeCell ref="K4:K5"/>
    <mergeCell ref="L4:L5"/>
    <mergeCell ref="M4:N4"/>
    <mergeCell ref="O4:O5"/>
    <mergeCell ref="P4:P5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6">
      <selection activeCell="T43" sqref="T43:T44"/>
    </sheetView>
  </sheetViews>
  <sheetFormatPr defaultColWidth="9.140625" defaultRowHeight="12.75"/>
  <cols>
    <col min="1" max="1" width="21.7109375" style="0" customWidth="1"/>
    <col min="2" max="4" width="7.00390625" style="0" customWidth="1"/>
    <col min="5" max="5" width="7.57421875" style="0" customWidth="1"/>
    <col min="6" max="6" width="7.421875" style="0" customWidth="1"/>
    <col min="7" max="7" width="5.140625" style="0" hidden="1" customWidth="1"/>
    <col min="8" max="8" width="4.8515625" style="0" hidden="1" customWidth="1"/>
    <col min="9" max="9" width="8.140625" style="0" customWidth="1"/>
    <col min="10" max="10" width="6.8515625" style="0" customWidth="1"/>
    <col min="11" max="11" width="7.8515625" style="0" customWidth="1"/>
    <col min="12" max="12" width="7.28125" style="0" customWidth="1"/>
    <col min="13" max="13" width="8.421875" style="0" customWidth="1"/>
    <col min="14" max="14" width="8.28125" style="0" customWidth="1"/>
    <col min="15" max="15" width="6.7109375" style="0" customWidth="1"/>
    <col min="16" max="16" width="6.57421875" style="0" customWidth="1"/>
    <col min="17" max="17" width="7.28125" style="0" customWidth="1"/>
    <col min="18" max="18" width="6.421875" style="0" customWidth="1"/>
    <col min="19" max="20" width="6.8515625" style="0" customWidth="1"/>
  </cols>
  <sheetData>
    <row r="1" spans="1:20" s="48" customFormat="1" ht="12.75">
      <c r="A1" s="109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3" spans="1:20" s="2" customFormat="1" ht="77.25" customHeight="1">
      <c r="A3" s="107" t="s">
        <v>40</v>
      </c>
      <c r="B3" s="107" t="s">
        <v>41</v>
      </c>
      <c r="C3" s="107"/>
      <c r="D3" s="107"/>
      <c r="E3" s="107" t="s">
        <v>42</v>
      </c>
      <c r="F3" s="107"/>
      <c r="G3" s="107" t="s">
        <v>43</v>
      </c>
      <c r="H3" s="107"/>
      <c r="I3" s="107" t="s">
        <v>44</v>
      </c>
      <c r="J3" s="107"/>
      <c r="K3" s="107" t="s">
        <v>45</v>
      </c>
      <c r="L3" s="107"/>
      <c r="M3" s="107" t="s">
        <v>46</v>
      </c>
      <c r="N3" s="107"/>
      <c r="O3" s="107"/>
      <c r="P3" s="107" t="s">
        <v>47</v>
      </c>
      <c r="Q3" s="107"/>
      <c r="R3" s="107"/>
      <c r="S3" s="107" t="s">
        <v>64</v>
      </c>
      <c r="T3" s="107"/>
    </row>
    <row r="4" spans="1:20" s="2" customFormat="1" ht="28.5" customHeight="1">
      <c r="A4" s="107"/>
      <c r="B4" s="107" t="s">
        <v>33</v>
      </c>
      <c r="C4" s="107" t="s">
        <v>15</v>
      </c>
      <c r="D4" s="107"/>
      <c r="E4" s="108" t="s">
        <v>48</v>
      </c>
      <c r="F4" s="108" t="s">
        <v>49</v>
      </c>
      <c r="G4" s="108" t="s">
        <v>48</v>
      </c>
      <c r="H4" s="108" t="s">
        <v>49</v>
      </c>
      <c r="I4" s="108" t="s">
        <v>48</v>
      </c>
      <c r="J4" s="108" t="s">
        <v>49</v>
      </c>
      <c r="K4" s="108" t="s">
        <v>48</v>
      </c>
      <c r="L4" s="108" t="s">
        <v>49</v>
      </c>
      <c r="M4" s="107" t="s">
        <v>50</v>
      </c>
      <c r="N4" s="107"/>
      <c r="O4" s="108" t="s">
        <v>51</v>
      </c>
      <c r="P4" s="107" t="s">
        <v>33</v>
      </c>
      <c r="Q4" s="107" t="s">
        <v>15</v>
      </c>
      <c r="R4" s="107"/>
      <c r="S4" s="108" t="s">
        <v>62</v>
      </c>
      <c r="T4" s="108" t="s">
        <v>63</v>
      </c>
    </row>
    <row r="5" spans="1:20" s="2" customFormat="1" ht="103.5" customHeight="1">
      <c r="A5" s="107"/>
      <c r="B5" s="107"/>
      <c r="C5" s="22" t="s">
        <v>52</v>
      </c>
      <c r="D5" s="22" t="s">
        <v>53</v>
      </c>
      <c r="E5" s="108"/>
      <c r="F5" s="108"/>
      <c r="G5" s="108"/>
      <c r="H5" s="108"/>
      <c r="I5" s="108"/>
      <c r="J5" s="108"/>
      <c r="K5" s="108"/>
      <c r="L5" s="108"/>
      <c r="M5" s="1" t="s">
        <v>33</v>
      </c>
      <c r="N5" s="23" t="s">
        <v>54</v>
      </c>
      <c r="O5" s="108"/>
      <c r="P5" s="107"/>
      <c r="Q5" s="22" t="s">
        <v>52</v>
      </c>
      <c r="R5" s="22" t="s">
        <v>53</v>
      </c>
      <c r="S5" s="108"/>
      <c r="T5" s="108"/>
    </row>
    <row r="6" spans="1:20" s="3" customFormat="1" ht="24.75" customHeight="1">
      <c r="A6" s="21" t="s">
        <v>55</v>
      </c>
      <c r="B6" s="26">
        <f aca="true" t="shared" si="0" ref="B6:B11">SUM(C6:D6)</f>
        <v>2037.0782399999998</v>
      </c>
      <c r="C6" s="26">
        <v>1514.230997</v>
      </c>
      <c r="D6" s="27">
        <v>522.847243</v>
      </c>
      <c r="E6" s="27">
        <f>SUM(E12-E7)</f>
        <v>12711.230749999995</v>
      </c>
      <c r="F6" s="27">
        <f>SUM(F12-F7)</f>
        <v>2159.9039700000003</v>
      </c>
      <c r="G6" s="27">
        <v>0</v>
      </c>
      <c r="H6" s="27">
        <v>0</v>
      </c>
      <c r="I6" s="27">
        <f aca="true" t="shared" si="1" ref="I6:J12">SUM(E6-G6)</f>
        <v>12711.230749999995</v>
      </c>
      <c r="J6" s="27">
        <f t="shared" si="1"/>
        <v>2159.9039700000003</v>
      </c>
      <c r="K6" s="27">
        <f>SUM(L6)+'опл.май'!K6</f>
        <v>12000.057700000001</v>
      </c>
      <c r="L6" s="27">
        <f>SUM(L12-L7)</f>
        <v>2253.38797</v>
      </c>
      <c r="M6" s="27">
        <f aca="true" t="shared" si="2" ref="M6:M12">SUM(K6)</f>
        <v>12000.057700000001</v>
      </c>
      <c r="N6" s="27">
        <f>SUM(N12-N7)</f>
        <v>266.5672919916959</v>
      </c>
      <c r="O6" s="27">
        <f aca="true" t="shared" si="3" ref="O6:O12">SUM(L6)</f>
        <v>2253.38797</v>
      </c>
      <c r="P6" s="27">
        <f aca="true" t="shared" si="4" ref="P6:P12">SUM(B6+E6-K6)</f>
        <v>2748.251289999993</v>
      </c>
      <c r="Q6" s="27">
        <f>SUM(Q12-Q7)</f>
        <v>2277.928412345234</v>
      </c>
      <c r="R6" s="27">
        <f>SUM(R12-R7)</f>
        <v>470.3228776547603</v>
      </c>
      <c r="S6" s="38">
        <f>SUM((K6)/(B6+E6))</f>
        <v>0.8136565153426452</v>
      </c>
      <c r="T6" s="38">
        <f aca="true" t="shared" si="5" ref="T6:T11">SUM((L6)/(J6+B6))</f>
        <v>0.5369067242245947</v>
      </c>
    </row>
    <row r="7" spans="1:20" s="3" customFormat="1" ht="41.25" customHeight="1">
      <c r="A7" s="21" t="s">
        <v>56</v>
      </c>
      <c r="B7" s="26">
        <f t="shared" si="0"/>
        <v>3951.1929099999998</v>
      </c>
      <c r="C7" s="27">
        <f>SUM(C8:C11)</f>
        <v>2937.0589019999998</v>
      </c>
      <c r="D7" s="27">
        <f>SUM(D8:D11)</f>
        <v>1014.134008</v>
      </c>
      <c r="E7" s="27">
        <f>SUM(E8:E11)</f>
        <v>23111.492680000003</v>
      </c>
      <c r="F7" s="27">
        <f>SUM(F8:F11)</f>
        <v>1158.56278</v>
      </c>
      <c r="G7" s="27">
        <v>0</v>
      </c>
      <c r="H7" s="27">
        <v>0</v>
      </c>
      <c r="I7" s="27">
        <f t="shared" si="1"/>
        <v>23111.492680000003</v>
      </c>
      <c r="J7" s="27">
        <f t="shared" si="1"/>
        <v>1158.56278</v>
      </c>
      <c r="K7" s="27">
        <f>SUM(L7)+'опл.май'!K7</f>
        <v>23364.974889999998</v>
      </c>
      <c r="L7" s="27">
        <f>SUM(L8:L11)</f>
        <v>1623.59409</v>
      </c>
      <c r="M7" s="27">
        <f t="shared" si="2"/>
        <v>23364.974889999998</v>
      </c>
      <c r="N7" s="27">
        <f>SUM(N12/M12)*M7</f>
        <v>519.0256780083041</v>
      </c>
      <c r="O7" s="27">
        <f t="shared" si="3"/>
        <v>1623.59409</v>
      </c>
      <c r="P7" s="27">
        <f t="shared" si="4"/>
        <v>3697.7107000000033</v>
      </c>
      <c r="Q7" s="27">
        <f>SUM(Q8:Q11)</f>
        <v>3064.9017776547666</v>
      </c>
      <c r="R7" s="27">
        <f>SUM(R8:R11)</f>
        <v>632.8089223452353</v>
      </c>
      <c r="S7" s="38">
        <f aca="true" t="shared" si="6" ref="S7:S12">SUM((K7)/(B7+E7))</f>
        <v>0.863364975818721</v>
      </c>
      <c r="T7" s="38">
        <f t="shared" si="5"/>
        <v>0.3177439761312737</v>
      </c>
    </row>
    <row r="8" spans="1:20" s="2" customFormat="1" ht="24.75" customHeight="1">
      <c r="A8" s="20" t="s">
        <v>57</v>
      </c>
      <c r="B8" s="28">
        <f t="shared" si="0"/>
        <v>983.69713</v>
      </c>
      <c r="C8" s="29">
        <v>731.216237</v>
      </c>
      <c r="D8" s="29">
        <v>252.480893</v>
      </c>
      <c r="E8" s="29">
        <f>SUM('Начисл.2016'!U16)/1000</f>
        <v>4533.40272</v>
      </c>
      <c r="F8" s="29">
        <f>SUM('Начисл.2016'!U15)/1000</f>
        <v>735.78609</v>
      </c>
      <c r="G8" s="29">
        <v>0</v>
      </c>
      <c r="H8" s="29">
        <v>0</v>
      </c>
      <c r="I8" s="29">
        <f t="shared" si="1"/>
        <v>4533.40272</v>
      </c>
      <c r="J8" s="29">
        <f t="shared" si="1"/>
        <v>735.78609</v>
      </c>
      <c r="K8" s="29">
        <f>SUM(L8)+'опл.май'!K8</f>
        <v>4287.20335</v>
      </c>
      <c r="L8" s="29">
        <v>772.33407</v>
      </c>
      <c r="M8" s="29">
        <f t="shared" si="2"/>
        <v>4287.20335</v>
      </c>
      <c r="N8" s="29">
        <f>SUM(N12/M12)*M8</f>
        <v>95.2352243462318</v>
      </c>
      <c r="O8" s="29">
        <f t="shared" si="3"/>
        <v>772.33407</v>
      </c>
      <c r="P8" s="29">
        <f t="shared" si="4"/>
        <v>1229.8965000000007</v>
      </c>
      <c r="Q8" s="29">
        <f>SUM(Q12/P12)*P8</f>
        <v>1019.4177627745123</v>
      </c>
      <c r="R8" s="29">
        <f>SUM(R12/Q12)*Q8</f>
        <v>210.47873722548837</v>
      </c>
      <c r="S8" s="38">
        <f t="shared" si="6"/>
        <v>0.7770755408749761</v>
      </c>
      <c r="T8" s="38">
        <f t="shared" si="5"/>
        <v>0.449166389655143</v>
      </c>
    </row>
    <row r="9" spans="1:20" s="2" customFormat="1" ht="21.75" customHeight="1">
      <c r="A9" s="20" t="s">
        <v>58</v>
      </c>
      <c r="B9" s="28">
        <f t="shared" si="0"/>
        <v>573.44926</v>
      </c>
      <c r="C9" s="29">
        <v>426.264749</v>
      </c>
      <c r="D9" s="29">
        <v>147.184511</v>
      </c>
      <c r="E9" s="29">
        <f>SUM('Начисл.2016'!V16)/1000</f>
        <v>2605.56235</v>
      </c>
      <c r="F9" s="29">
        <f>SUM('Начисл.2016'!V15)/1000</f>
        <v>422.77669000000003</v>
      </c>
      <c r="G9" s="29">
        <v>0</v>
      </c>
      <c r="H9" s="29">
        <v>0</v>
      </c>
      <c r="I9" s="29">
        <f t="shared" si="1"/>
        <v>2605.56235</v>
      </c>
      <c r="J9" s="29">
        <f t="shared" si="1"/>
        <v>422.77669000000003</v>
      </c>
      <c r="K9" s="29">
        <f>SUM(L9)+'опл.май'!K9</f>
        <v>2466.4423100000004</v>
      </c>
      <c r="L9" s="29">
        <v>448.68915</v>
      </c>
      <c r="M9" s="29">
        <f t="shared" si="2"/>
        <v>2466.4423100000004</v>
      </c>
      <c r="N9" s="29">
        <f>SUM(N12/M12)*M9</f>
        <v>54.78914050808629</v>
      </c>
      <c r="O9" s="29">
        <f t="shared" si="3"/>
        <v>448.68915</v>
      </c>
      <c r="P9" s="29">
        <f t="shared" si="4"/>
        <v>712.5692999999997</v>
      </c>
      <c r="Q9" s="29">
        <f>SUM(Q12/P12)*P9</f>
        <v>590.6235212701228</v>
      </c>
      <c r="R9" s="29">
        <f>SUM(R12/Q12)*Q9</f>
        <v>121.94577872987689</v>
      </c>
      <c r="S9" s="38">
        <f t="shared" si="6"/>
        <v>0.7758519353126868</v>
      </c>
      <c r="T9" s="38">
        <f t="shared" si="5"/>
        <v>0.4503889403804428</v>
      </c>
    </row>
    <row r="10" spans="1:20" s="2" customFormat="1" ht="20.25" customHeight="1">
      <c r="A10" s="20" t="s">
        <v>59</v>
      </c>
      <c r="B10" s="28">
        <f t="shared" si="0"/>
        <v>0</v>
      </c>
      <c r="C10" s="28">
        <v>0</v>
      </c>
      <c r="D10" s="28">
        <v>0</v>
      </c>
      <c r="E10" s="29">
        <f>SUM('Начисл.2016'!Y16)/1000</f>
        <v>0</v>
      </c>
      <c r="F10" s="29">
        <f>SUM('Начисл.2016'!Y13)/1000</f>
        <v>0</v>
      </c>
      <c r="G10" s="29">
        <v>0</v>
      </c>
      <c r="H10" s="29">
        <v>0</v>
      </c>
      <c r="I10" s="29">
        <f t="shared" si="1"/>
        <v>0</v>
      </c>
      <c r="J10" s="29">
        <f t="shared" si="1"/>
        <v>0</v>
      </c>
      <c r="K10" s="29">
        <f>SUM(L10)+'опл.май'!K10</f>
        <v>0</v>
      </c>
      <c r="L10" s="29">
        <v>0</v>
      </c>
      <c r="M10" s="29">
        <f t="shared" si="2"/>
        <v>0</v>
      </c>
      <c r="N10" s="29">
        <f>SUM(N12/M12)*M10</f>
        <v>0</v>
      </c>
      <c r="O10" s="29">
        <f t="shared" si="3"/>
        <v>0</v>
      </c>
      <c r="P10" s="29">
        <f t="shared" si="4"/>
        <v>0</v>
      </c>
      <c r="Q10" s="29">
        <f>SUM(Q12/P12)*P10</f>
        <v>0</v>
      </c>
      <c r="R10" s="29">
        <f>SUM(P10-Q10)</f>
        <v>0</v>
      </c>
      <c r="S10" s="38">
        <v>0</v>
      </c>
      <c r="T10" s="44">
        <v>0</v>
      </c>
    </row>
    <row r="11" spans="1:20" s="2" customFormat="1" ht="21" customHeight="1">
      <c r="A11" s="20" t="s">
        <v>60</v>
      </c>
      <c r="B11" s="29">
        <f t="shared" si="0"/>
        <v>2394.04652</v>
      </c>
      <c r="C11" s="29">
        <v>1779.577916</v>
      </c>
      <c r="D11" s="29">
        <v>614.468604</v>
      </c>
      <c r="E11" s="29">
        <f>SUM('Начисл.2016'!W16)/1000</f>
        <v>15972.527610000001</v>
      </c>
      <c r="F11" s="29">
        <f>SUM('Начисл.2016'!W15)/1000</f>
        <v>0</v>
      </c>
      <c r="G11" s="29">
        <v>0</v>
      </c>
      <c r="H11" s="29">
        <v>0</v>
      </c>
      <c r="I11" s="29">
        <f t="shared" si="1"/>
        <v>15972.527610000001</v>
      </c>
      <c r="J11" s="29">
        <f t="shared" si="1"/>
        <v>0</v>
      </c>
      <c r="K11" s="29">
        <f>SUM(L11)+'опл.май'!K11</f>
        <v>16611.32923</v>
      </c>
      <c r="L11" s="29">
        <v>402.57087</v>
      </c>
      <c r="M11" s="29">
        <f t="shared" si="2"/>
        <v>16611.32923</v>
      </c>
      <c r="N11" s="29">
        <f>SUM(N12/M12)*M11</f>
        <v>369.0013131539861</v>
      </c>
      <c r="O11" s="29">
        <f t="shared" si="3"/>
        <v>402.57087</v>
      </c>
      <c r="P11" s="29">
        <f t="shared" si="4"/>
        <v>1755.2449000000015</v>
      </c>
      <c r="Q11" s="29">
        <f>SUM(Q12/P12)*P11</f>
        <v>1454.8604936101315</v>
      </c>
      <c r="R11" s="29">
        <f>SUM(R12/Q12)*Q11</f>
        <v>300.38440638987</v>
      </c>
      <c r="S11" s="38">
        <f t="shared" si="6"/>
        <v>0.9044326455453127</v>
      </c>
      <c r="T11" s="38">
        <f t="shared" si="5"/>
        <v>0.16815499057219657</v>
      </c>
    </row>
    <row r="12" spans="1:20" s="3" customFormat="1" ht="24" customHeight="1">
      <c r="A12" s="21" t="s">
        <v>61</v>
      </c>
      <c r="B12" s="26">
        <f>SUM(B6)+B7</f>
        <v>5988.27115</v>
      </c>
      <c r="C12" s="27">
        <f>SUM(C6)+C7</f>
        <v>4451.289898999999</v>
      </c>
      <c r="D12" s="27">
        <f>SUM(D6)+D7</f>
        <v>1536.9812510000002</v>
      </c>
      <c r="E12" s="27">
        <f>SUM('Начисл.2016'!AH16)/1000</f>
        <v>35822.72343</v>
      </c>
      <c r="F12" s="27">
        <f>SUM('Начисл.2016'!AH15)/1000</f>
        <v>3318.46675</v>
      </c>
      <c r="G12" s="27">
        <v>0</v>
      </c>
      <c r="H12" s="27">
        <v>0</v>
      </c>
      <c r="I12" s="27">
        <f t="shared" si="1"/>
        <v>35822.72343</v>
      </c>
      <c r="J12" s="27">
        <f t="shared" si="1"/>
        <v>3318.46675</v>
      </c>
      <c r="K12" s="27">
        <f>SUM('Начисл.2016'!AI16)/1000</f>
        <v>35365.03259</v>
      </c>
      <c r="L12" s="53">
        <f>SUM('Начисл.2016'!AI15)/1000</f>
        <v>3876.9820600000003</v>
      </c>
      <c r="M12" s="27">
        <f t="shared" si="2"/>
        <v>35365.03259</v>
      </c>
      <c r="N12" s="27">
        <f>SUM(N37)</f>
        <v>785.59297</v>
      </c>
      <c r="O12" s="27">
        <f t="shared" si="3"/>
        <v>3876.9820600000003</v>
      </c>
      <c r="P12" s="27">
        <f t="shared" si="4"/>
        <v>6445.961989999996</v>
      </c>
      <c r="Q12" s="27">
        <f>SUM(Q34)</f>
        <v>5342.830190000001</v>
      </c>
      <c r="R12" s="27">
        <f>SUM(P12-Q12)</f>
        <v>1103.1317999999956</v>
      </c>
      <c r="S12" s="38">
        <f t="shared" si="6"/>
        <v>0.8458309338308977</v>
      </c>
      <c r="T12" s="38">
        <f>SUM((L12)/(J12+B12))</f>
        <v>0.41657797841282285</v>
      </c>
    </row>
    <row r="13" spans="1:20" s="3" customFormat="1" ht="24" customHeight="1">
      <c r="A13" s="49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52"/>
    </row>
    <row r="14" spans="1:20" s="3" customFormat="1" ht="24" customHeight="1">
      <c r="A14" s="49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  <c r="T14" s="52"/>
    </row>
    <row r="16" ht="12.75">
      <c r="A16" t="s">
        <v>34</v>
      </c>
    </row>
    <row r="17" ht="12.75">
      <c r="A17" t="s">
        <v>35</v>
      </c>
    </row>
    <row r="24" ht="11.25" customHeight="1"/>
    <row r="25" ht="12.75" hidden="1"/>
    <row r="26" ht="12.75" hidden="1">
      <c r="N26">
        <f>SUM('опл. янв.16'!N25)</f>
        <v>64.25493</v>
      </c>
    </row>
    <row r="27" ht="12.75" hidden="1">
      <c r="N27" s="36">
        <f>SUM('опл.май'!N27)</f>
        <v>122.42421</v>
      </c>
    </row>
    <row r="28" ht="12.75" hidden="1">
      <c r="N28">
        <f>SUM('опл.май'!N28)</f>
        <v>191.12239</v>
      </c>
    </row>
    <row r="29" ht="12.75" hidden="1">
      <c r="N29">
        <f>SUM('опл.май'!N29)</f>
        <v>224.8662</v>
      </c>
    </row>
    <row r="30" ht="12.75" hidden="1">
      <c r="N30">
        <f>SUM('опл.май'!N30)</f>
        <v>123.86081</v>
      </c>
    </row>
    <row r="31" ht="12.75" hidden="1">
      <c r="N31">
        <v>59.06443</v>
      </c>
    </row>
    <row r="32" ht="12.75" hidden="1">
      <c r="N32">
        <v>0</v>
      </c>
    </row>
    <row r="33" ht="12.75" hidden="1">
      <c r="N33">
        <v>0</v>
      </c>
    </row>
    <row r="34" spans="2:19" ht="12.75" hidden="1">
      <c r="B34">
        <f>SUM(B7,B6)</f>
        <v>5988.27115</v>
      </c>
      <c r="C34" s="36">
        <f>SUM(C7,C6)</f>
        <v>4451.289898999999</v>
      </c>
      <c r="D34">
        <f>SUM(D7,D6)</f>
        <v>1536.9812510000002</v>
      </c>
      <c r="E34" s="30">
        <f>SUM(E8:E11,E6)</f>
        <v>35822.72343</v>
      </c>
      <c r="F34" s="30">
        <f>SUM(F8:F11,F6)</f>
        <v>3318.4667500000005</v>
      </c>
      <c r="G34" s="31">
        <v>0</v>
      </c>
      <c r="H34" s="31">
        <v>0</v>
      </c>
      <c r="I34" s="30">
        <f>SUM(I8:I11,I6)</f>
        <v>35822.72343</v>
      </c>
      <c r="J34" s="30">
        <f>SUM(J8:J11,J6)</f>
        <v>3318.4667500000005</v>
      </c>
      <c r="K34" s="30">
        <f>SUM(K8:K11,K6)</f>
        <v>35365.03259</v>
      </c>
      <c r="L34" s="30">
        <f>SUM(L8:L11,L6)</f>
        <v>3876.9820600000003</v>
      </c>
      <c r="M34" s="31">
        <f>SUM('Начисл.2016'!AI16)/1000</f>
        <v>35365.03259</v>
      </c>
      <c r="N34" s="31">
        <v>0</v>
      </c>
      <c r="O34" s="31">
        <f>SUM('Начисл.2016'!AI15)/1000</f>
        <v>3876.9820600000003</v>
      </c>
      <c r="P34" s="33">
        <f>SUM('Начисл.2016'!AJ16)/1000</f>
        <v>6445.902279999994</v>
      </c>
      <c r="Q34" s="33">
        <f>SUM(T43)/1000</f>
        <v>5342.830190000001</v>
      </c>
      <c r="R34" s="30">
        <f>SUM(R8:R11,R6)</f>
        <v>1103.1317999999956</v>
      </c>
      <c r="S34" s="31"/>
    </row>
    <row r="35" spans="2:19" ht="12.75" hidden="1">
      <c r="B35">
        <f>SUM(B8:B11,B6)</f>
        <v>5988.27115</v>
      </c>
      <c r="C35" s="36">
        <f>SUM(C8:C11,C6)</f>
        <v>4451.289898999999</v>
      </c>
      <c r="D35">
        <f>SUM(D8:D11,D6)</f>
        <v>1536.9812510000002</v>
      </c>
      <c r="E35" s="30">
        <f>SUM(E34-E12)</f>
        <v>0</v>
      </c>
      <c r="F35" s="30">
        <f>SUM(F34-F12)</f>
        <v>4.547473508864641E-13</v>
      </c>
      <c r="G35" s="31">
        <v>0</v>
      </c>
      <c r="H35" s="31">
        <v>0</v>
      </c>
      <c r="I35" s="30">
        <f>SUM(I12-I34)</f>
        <v>0</v>
      </c>
      <c r="J35" s="30">
        <f aca="true" t="shared" si="7" ref="J35:R35">SUM(J12-J34)</f>
        <v>-4.547473508864641E-13</v>
      </c>
      <c r="K35" s="30">
        <f t="shared" si="7"/>
        <v>0</v>
      </c>
      <c r="L35" s="30">
        <f t="shared" si="7"/>
        <v>0</v>
      </c>
      <c r="M35" s="30">
        <f t="shared" si="7"/>
        <v>0</v>
      </c>
      <c r="N35" s="31">
        <v>0</v>
      </c>
      <c r="O35" s="30">
        <f t="shared" si="7"/>
        <v>0</v>
      </c>
      <c r="P35" s="33">
        <f>SUM(P7,P6)</f>
        <v>6445.961989999996</v>
      </c>
      <c r="Q35" s="30">
        <f t="shared" si="7"/>
        <v>0</v>
      </c>
      <c r="R35" s="30">
        <f t="shared" si="7"/>
        <v>0</v>
      </c>
      <c r="S35" s="31"/>
    </row>
    <row r="36" spans="5:19" ht="12.75" hidden="1">
      <c r="E36" s="31"/>
      <c r="F36" s="31"/>
      <c r="G36" s="31"/>
      <c r="H36" s="31"/>
      <c r="I36" s="31"/>
      <c r="J36" s="31"/>
      <c r="K36" s="31"/>
      <c r="L36" s="31">
        <f>SUM(L34-L35)</f>
        <v>3876.9820600000003</v>
      </c>
      <c r="M36" s="31"/>
      <c r="N36" s="31">
        <v>0</v>
      </c>
      <c r="O36" s="31"/>
      <c r="P36" s="33">
        <f>SUM(P34-P35)</f>
        <v>-0.059710000002269226</v>
      </c>
      <c r="Q36" s="33">
        <f>SUM(Q7,Q6)</f>
        <v>5342.830190000001</v>
      </c>
      <c r="R36" s="31"/>
      <c r="S36" s="31"/>
    </row>
    <row r="37" spans="5:19" ht="12.75" hidden="1">
      <c r="E37" s="31"/>
      <c r="F37" s="31"/>
      <c r="G37" s="31"/>
      <c r="H37" s="31"/>
      <c r="I37" s="31"/>
      <c r="J37" s="31"/>
      <c r="K37" s="31"/>
      <c r="L37" s="31"/>
      <c r="M37" s="31"/>
      <c r="N37" s="31">
        <f>SUM(N25:N36)</f>
        <v>785.59297</v>
      </c>
      <c r="O37" s="31"/>
      <c r="P37" s="31"/>
      <c r="Q37" s="31"/>
      <c r="R37" s="31"/>
      <c r="S37" s="31"/>
    </row>
    <row r="38" spans="5:19" ht="12.75" hidden="1">
      <c r="E38" s="31"/>
      <c r="F38" s="31"/>
      <c r="G38" s="31"/>
      <c r="H38" s="31"/>
      <c r="I38" s="31"/>
      <c r="J38" s="31"/>
      <c r="K38" s="31"/>
      <c r="L38" s="31"/>
      <c r="M38" s="31"/>
      <c r="N38" s="32"/>
      <c r="O38" s="31"/>
      <c r="P38" s="31"/>
      <c r="Q38" s="31"/>
      <c r="R38" s="31"/>
      <c r="S38" s="31"/>
    </row>
    <row r="39" spans="5:19" ht="12.75" hidden="1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5:19" ht="12.75" hidden="1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ht="12.75" hidden="1"/>
    <row r="42" ht="12.75" hidden="1">
      <c r="T42" s="31" t="s">
        <v>3</v>
      </c>
    </row>
    <row r="43" spans="17:20" ht="12.75" hidden="1">
      <c r="Q43" t="s">
        <v>52</v>
      </c>
      <c r="S43">
        <f>SUM(T43:W43)</f>
        <v>5342830.19</v>
      </c>
      <c r="T43" s="91">
        <v>5342830.19</v>
      </c>
    </row>
    <row r="44" spans="17:20" ht="12.75" hidden="1">
      <c r="Q44" t="s">
        <v>100</v>
      </c>
      <c r="T44" s="83">
        <v>1093206.43</v>
      </c>
    </row>
    <row r="45" ht="12.75" hidden="1"/>
    <row r="46" ht="12.75" hidden="1"/>
    <row r="47" ht="12.75" hidden="1"/>
  </sheetData>
  <sheetProtection/>
  <mergeCells count="26">
    <mergeCell ref="P4:P5"/>
    <mergeCell ref="Q4:R4"/>
    <mergeCell ref="S4:S5"/>
    <mergeCell ref="T4:T5"/>
    <mergeCell ref="I4:I5"/>
    <mergeCell ref="J4:J5"/>
    <mergeCell ref="K4:K5"/>
    <mergeCell ref="L4:L5"/>
    <mergeCell ref="M4:N4"/>
    <mergeCell ref="O4:O5"/>
    <mergeCell ref="B4:B5"/>
    <mergeCell ref="C4:D4"/>
    <mergeCell ref="E4:E5"/>
    <mergeCell ref="F4:F5"/>
    <mergeCell ref="G4:G5"/>
    <mergeCell ref="H4:H5"/>
    <mergeCell ref="A1:T1"/>
    <mergeCell ref="A3:A5"/>
    <mergeCell ref="B3:D3"/>
    <mergeCell ref="E3:F3"/>
    <mergeCell ref="G3:H3"/>
    <mergeCell ref="I3:J3"/>
    <mergeCell ref="K3:L3"/>
    <mergeCell ref="M3:O3"/>
    <mergeCell ref="P3:R3"/>
    <mergeCell ref="S3:T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6">
      <selection activeCell="S12" sqref="S12"/>
    </sheetView>
  </sheetViews>
  <sheetFormatPr defaultColWidth="9.140625" defaultRowHeight="12.75"/>
  <cols>
    <col min="1" max="1" width="21.7109375" style="0" customWidth="1"/>
    <col min="2" max="4" width="7.00390625" style="0" customWidth="1"/>
    <col min="5" max="5" width="7.57421875" style="0" customWidth="1"/>
    <col min="6" max="6" width="7.421875" style="0" customWidth="1"/>
    <col min="7" max="7" width="5.140625" style="0" hidden="1" customWidth="1"/>
    <col min="8" max="8" width="4.8515625" style="0" hidden="1" customWidth="1"/>
    <col min="9" max="9" width="8.140625" style="0" customWidth="1"/>
    <col min="10" max="10" width="6.8515625" style="0" customWidth="1"/>
    <col min="11" max="11" width="7.8515625" style="0" customWidth="1"/>
    <col min="12" max="12" width="7.28125" style="0" customWidth="1"/>
    <col min="13" max="13" width="8.421875" style="0" customWidth="1"/>
    <col min="14" max="14" width="8.28125" style="0" customWidth="1"/>
    <col min="15" max="15" width="7.421875" style="0" customWidth="1"/>
    <col min="16" max="16" width="7.00390625" style="0" customWidth="1"/>
    <col min="17" max="17" width="6.140625" style="0" customWidth="1"/>
    <col min="18" max="18" width="8.7109375" style="0" customWidth="1"/>
    <col min="19" max="19" width="7.28125" style="0" customWidth="1"/>
    <col min="20" max="20" width="8.7109375" style="0" customWidth="1"/>
  </cols>
  <sheetData>
    <row r="1" spans="1:20" s="48" customFormat="1" ht="12.75">
      <c r="A1" s="109" t="s">
        <v>106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3" spans="1:20" s="2" customFormat="1" ht="77.25" customHeight="1">
      <c r="A3" s="107" t="s">
        <v>40</v>
      </c>
      <c r="B3" s="107" t="s">
        <v>41</v>
      </c>
      <c r="C3" s="107"/>
      <c r="D3" s="107"/>
      <c r="E3" s="107" t="s">
        <v>42</v>
      </c>
      <c r="F3" s="107"/>
      <c r="G3" s="107" t="s">
        <v>43</v>
      </c>
      <c r="H3" s="107"/>
      <c r="I3" s="107" t="s">
        <v>44</v>
      </c>
      <c r="J3" s="107"/>
      <c r="K3" s="107" t="s">
        <v>45</v>
      </c>
      <c r="L3" s="107"/>
      <c r="M3" s="107" t="s">
        <v>46</v>
      </c>
      <c r="N3" s="107"/>
      <c r="O3" s="107"/>
      <c r="P3" s="107" t="s">
        <v>47</v>
      </c>
      <c r="Q3" s="107"/>
      <c r="R3" s="107"/>
      <c r="S3" s="107" t="s">
        <v>64</v>
      </c>
      <c r="T3" s="107"/>
    </row>
    <row r="4" spans="1:20" s="2" customFormat="1" ht="28.5" customHeight="1">
      <c r="A4" s="107"/>
      <c r="B4" s="107" t="s">
        <v>33</v>
      </c>
      <c r="C4" s="107" t="s">
        <v>15</v>
      </c>
      <c r="D4" s="107"/>
      <c r="E4" s="108" t="s">
        <v>48</v>
      </c>
      <c r="F4" s="108" t="s">
        <v>49</v>
      </c>
      <c r="G4" s="108" t="s">
        <v>48</v>
      </c>
      <c r="H4" s="108" t="s">
        <v>49</v>
      </c>
      <c r="I4" s="108" t="s">
        <v>48</v>
      </c>
      <c r="J4" s="108" t="s">
        <v>49</v>
      </c>
      <c r="K4" s="108" t="s">
        <v>48</v>
      </c>
      <c r="L4" s="108" t="s">
        <v>49</v>
      </c>
      <c r="M4" s="107" t="s">
        <v>50</v>
      </c>
      <c r="N4" s="107"/>
      <c r="O4" s="108" t="s">
        <v>51</v>
      </c>
      <c r="P4" s="107" t="s">
        <v>33</v>
      </c>
      <c r="Q4" s="107" t="s">
        <v>15</v>
      </c>
      <c r="R4" s="107"/>
      <c r="S4" s="108" t="s">
        <v>62</v>
      </c>
      <c r="T4" s="108" t="s">
        <v>63</v>
      </c>
    </row>
    <row r="5" spans="1:20" s="2" customFormat="1" ht="103.5" customHeight="1">
      <c r="A5" s="107"/>
      <c r="B5" s="107"/>
      <c r="C5" s="22" t="s">
        <v>52</v>
      </c>
      <c r="D5" s="22" t="s">
        <v>53</v>
      </c>
      <c r="E5" s="108"/>
      <c r="F5" s="108"/>
      <c r="G5" s="108"/>
      <c r="H5" s="108"/>
      <c r="I5" s="108"/>
      <c r="J5" s="108"/>
      <c r="K5" s="108"/>
      <c r="L5" s="108"/>
      <c r="M5" s="1" t="s">
        <v>33</v>
      </c>
      <c r="N5" s="23" t="s">
        <v>54</v>
      </c>
      <c r="O5" s="108"/>
      <c r="P5" s="107"/>
      <c r="Q5" s="22" t="s">
        <v>52</v>
      </c>
      <c r="R5" s="22" t="s">
        <v>53</v>
      </c>
      <c r="S5" s="108"/>
      <c r="T5" s="108"/>
    </row>
    <row r="6" spans="1:20" s="3" customFormat="1" ht="24.75" customHeight="1">
      <c r="A6" s="21" t="s">
        <v>55</v>
      </c>
      <c r="B6" s="26">
        <f aca="true" t="shared" si="0" ref="B6:B11">SUM(C6:D6)</f>
        <v>2037.0782399999998</v>
      </c>
      <c r="C6" s="26">
        <v>1514.230997</v>
      </c>
      <c r="D6" s="27">
        <v>522.847243</v>
      </c>
      <c r="E6" s="27">
        <f>SUM(E12-E7)</f>
        <v>15003.119379999996</v>
      </c>
      <c r="F6" s="27">
        <f>SUM(F12-F7)</f>
        <v>2291.88863</v>
      </c>
      <c r="G6" s="27">
        <v>0</v>
      </c>
      <c r="H6" s="27">
        <v>0</v>
      </c>
      <c r="I6" s="27">
        <f aca="true" t="shared" si="1" ref="I6:J12">SUM(E6-G6)</f>
        <v>15003.119379999996</v>
      </c>
      <c r="J6" s="27">
        <f t="shared" si="1"/>
        <v>2291.88863</v>
      </c>
      <c r="K6" s="27">
        <f>SUM(L6)+'опл. июнь'!K6</f>
        <v>13938.36237</v>
      </c>
      <c r="L6" s="27">
        <f>SUM(L12-L7)</f>
        <v>1938.3046699999998</v>
      </c>
      <c r="M6" s="27">
        <f aca="true" t="shared" si="2" ref="M6:M12">SUM(K6)</f>
        <v>13938.36237</v>
      </c>
      <c r="N6" s="27">
        <f>SUM(N12-N7)</f>
        <v>296.02140047068315</v>
      </c>
      <c r="O6" s="27">
        <f aca="true" t="shared" si="3" ref="O6:O12">SUM(L6)</f>
        <v>1938.3046699999998</v>
      </c>
      <c r="P6" s="27">
        <f aca="true" t="shared" si="4" ref="P6:P12">SUM(B6+E6-K6)</f>
        <v>3101.8352499999946</v>
      </c>
      <c r="Q6" s="27">
        <f>SUM(Q12-Q7)</f>
        <v>2358.635778088612</v>
      </c>
      <c r="R6" s="27">
        <f>SUM(R12-R7)</f>
        <v>743.1994719113884</v>
      </c>
      <c r="S6" s="38">
        <f>SUM((K6)/(E6))</f>
        <v>0.9290309579606907</v>
      </c>
      <c r="T6" s="38">
        <f aca="true" t="shared" si="5" ref="T6:T11">SUM((L6)/(J6+B6))</f>
        <v>0.4477522531836793</v>
      </c>
    </row>
    <row r="7" spans="1:20" s="3" customFormat="1" ht="41.25" customHeight="1">
      <c r="A7" s="21" t="s">
        <v>56</v>
      </c>
      <c r="B7" s="26">
        <f t="shared" si="0"/>
        <v>3951.1929099999998</v>
      </c>
      <c r="C7" s="27">
        <f>SUM(C8:C11)</f>
        <v>2937.0589019999998</v>
      </c>
      <c r="D7" s="27">
        <f>SUM(D8:D11)</f>
        <v>1014.134008</v>
      </c>
      <c r="E7" s="27">
        <f>SUM(E8:E11)</f>
        <v>24493.887990000003</v>
      </c>
      <c r="F7" s="27">
        <f>SUM(F8:F11)</f>
        <v>1382.3953099999999</v>
      </c>
      <c r="G7" s="27">
        <v>0</v>
      </c>
      <c r="H7" s="27">
        <v>0</v>
      </c>
      <c r="I7" s="27">
        <f t="shared" si="1"/>
        <v>24493.887990000003</v>
      </c>
      <c r="J7" s="27">
        <f t="shared" si="1"/>
        <v>1382.3953099999999</v>
      </c>
      <c r="K7" s="27">
        <f>SUM(L7)+'опл. июнь'!K7</f>
        <v>24650.860829999998</v>
      </c>
      <c r="L7" s="27">
        <f>SUM(L8:L11)</f>
        <v>1285.88594</v>
      </c>
      <c r="M7" s="27">
        <f t="shared" si="2"/>
        <v>24650.860829999998</v>
      </c>
      <c r="N7" s="27">
        <f>SUM(N12/M12)*M7</f>
        <v>523.5322595293169</v>
      </c>
      <c r="O7" s="27">
        <f t="shared" si="3"/>
        <v>1285.88594</v>
      </c>
      <c r="P7" s="27">
        <f t="shared" si="4"/>
        <v>3794.220070000003</v>
      </c>
      <c r="Q7" s="27">
        <f>SUM(Q8:Q11)</f>
        <v>2885.1252519113887</v>
      </c>
      <c r="R7" s="27">
        <f>SUM(R8:R11)</f>
        <v>909.0948180886105</v>
      </c>
      <c r="S7" s="38">
        <f aca="true" t="shared" si="6" ref="S7:S12">SUM((K7)/(E7))</f>
        <v>1.006408653459348</v>
      </c>
      <c r="T7" s="38">
        <f t="shared" si="5"/>
        <v>0.24109209165757456</v>
      </c>
    </row>
    <row r="8" spans="1:20" s="2" customFormat="1" ht="24.75" customHeight="1">
      <c r="A8" s="20" t="s">
        <v>57</v>
      </c>
      <c r="B8" s="28">
        <f t="shared" si="0"/>
        <v>983.69713</v>
      </c>
      <c r="C8" s="29">
        <v>731.216237</v>
      </c>
      <c r="D8" s="29">
        <v>252.480893</v>
      </c>
      <c r="E8" s="29">
        <f>SUM('Начисл.2016'!U18)/1000</f>
        <v>5443.41874</v>
      </c>
      <c r="F8" s="29">
        <f>SUM('Начисл.2016'!U17)/1000</f>
        <v>910.01602</v>
      </c>
      <c r="G8" s="29">
        <v>0</v>
      </c>
      <c r="H8" s="29">
        <v>0</v>
      </c>
      <c r="I8" s="29">
        <f t="shared" si="1"/>
        <v>5443.41874</v>
      </c>
      <c r="J8" s="29">
        <f t="shared" si="1"/>
        <v>910.01602</v>
      </c>
      <c r="K8" s="29">
        <f>SUM(L8)+'опл. июнь'!K8</f>
        <v>4993.9672199999995</v>
      </c>
      <c r="L8" s="29">
        <v>706.76387</v>
      </c>
      <c r="M8" s="29">
        <f t="shared" si="2"/>
        <v>4993.9672199999995</v>
      </c>
      <c r="N8" s="29">
        <f>SUM(N12/M12)*M8</f>
        <v>106.06132421631709</v>
      </c>
      <c r="O8" s="29">
        <f t="shared" si="3"/>
        <v>706.76387</v>
      </c>
      <c r="P8" s="29">
        <f t="shared" si="4"/>
        <v>1433.14865</v>
      </c>
      <c r="Q8" s="29">
        <f>SUM(Q12/P12)*P8</f>
        <v>1089.7663508109897</v>
      </c>
      <c r="R8" s="29">
        <f>SUM(R12/Q12)*Q8</f>
        <v>343.3822991890105</v>
      </c>
      <c r="S8" s="38">
        <f t="shared" si="6"/>
        <v>0.9174321246503992</v>
      </c>
      <c r="T8" s="38">
        <f t="shared" si="5"/>
        <v>0.3732159065379041</v>
      </c>
    </row>
    <row r="9" spans="1:20" s="2" customFormat="1" ht="21.75" customHeight="1">
      <c r="A9" s="20" t="s">
        <v>58</v>
      </c>
      <c r="B9" s="28">
        <f t="shared" si="0"/>
        <v>573.44926</v>
      </c>
      <c r="C9" s="29">
        <v>426.264749</v>
      </c>
      <c r="D9" s="29">
        <v>147.184511</v>
      </c>
      <c r="E9" s="29">
        <f>SUM('Начисл.2016'!V18)/1000</f>
        <v>3077.94164</v>
      </c>
      <c r="F9" s="29">
        <f>SUM('Начисл.2016'!V17)/1000</f>
        <v>472.37928999999997</v>
      </c>
      <c r="G9" s="29">
        <v>0</v>
      </c>
      <c r="H9" s="29">
        <v>0</v>
      </c>
      <c r="I9" s="29">
        <f t="shared" si="1"/>
        <v>3077.94164</v>
      </c>
      <c r="J9" s="29">
        <f t="shared" si="1"/>
        <v>472.37928999999997</v>
      </c>
      <c r="K9" s="29">
        <f>SUM(L9)+'опл. июнь'!K9</f>
        <v>2860.7433100000003</v>
      </c>
      <c r="L9" s="29">
        <v>394.301</v>
      </c>
      <c r="M9" s="29">
        <f t="shared" si="2"/>
        <v>2860.7433100000003</v>
      </c>
      <c r="N9" s="29">
        <f>SUM(N12/M12)*M9</f>
        <v>60.756150438162095</v>
      </c>
      <c r="O9" s="29">
        <f t="shared" si="3"/>
        <v>394.301</v>
      </c>
      <c r="P9" s="29">
        <f t="shared" si="4"/>
        <v>790.6475899999996</v>
      </c>
      <c r="Q9" s="29">
        <f>SUM(Q12/P12)*P9</f>
        <v>601.2084921768603</v>
      </c>
      <c r="R9" s="29">
        <f>SUM(R12/Q12)*Q9</f>
        <v>189.4390978231392</v>
      </c>
      <c r="S9" s="38">
        <f t="shared" si="6"/>
        <v>0.9294339024569681</v>
      </c>
      <c r="T9" s="38">
        <f t="shared" si="5"/>
        <v>0.3770226008842463</v>
      </c>
    </row>
    <row r="10" spans="1:20" s="2" customFormat="1" ht="20.25" customHeight="1">
      <c r="A10" s="20" t="s">
        <v>59</v>
      </c>
      <c r="B10" s="28">
        <f t="shared" si="0"/>
        <v>0</v>
      </c>
      <c r="C10" s="28">
        <v>0</v>
      </c>
      <c r="D10" s="28">
        <v>0</v>
      </c>
      <c r="E10" s="29">
        <f>SUM('Начисл.2016'!Y18)/1000</f>
        <v>0</v>
      </c>
      <c r="F10" s="29">
        <f>SUM('Начисл.2016'!Y17)/1000</f>
        <v>0</v>
      </c>
      <c r="G10" s="29">
        <v>0</v>
      </c>
      <c r="H10" s="29">
        <v>0</v>
      </c>
      <c r="I10" s="29">
        <f t="shared" si="1"/>
        <v>0</v>
      </c>
      <c r="J10" s="29">
        <f t="shared" si="1"/>
        <v>0</v>
      </c>
      <c r="K10" s="29">
        <f>SUM(L10)+'опл. июнь'!K10</f>
        <v>0</v>
      </c>
      <c r="L10" s="29">
        <v>0</v>
      </c>
      <c r="M10" s="29">
        <f t="shared" si="2"/>
        <v>0</v>
      </c>
      <c r="N10" s="29">
        <f>SUM(N12/M12)*M10</f>
        <v>0</v>
      </c>
      <c r="O10" s="29">
        <f t="shared" si="3"/>
        <v>0</v>
      </c>
      <c r="P10" s="29">
        <f t="shared" si="4"/>
        <v>0</v>
      </c>
      <c r="Q10" s="29">
        <f>SUM(Q12/P12)*P10</f>
        <v>0</v>
      </c>
      <c r="R10" s="29">
        <f>SUM(P10-Q10)</f>
        <v>0</v>
      </c>
      <c r="S10" s="38">
        <v>0</v>
      </c>
      <c r="T10" s="44">
        <v>0</v>
      </c>
    </row>
    <row r="11" spans="1:20" s="2" customFormat="1" ht="21" customHeight="1">
      <c r="A11" s="20" t="s">
        <v>60</v>
      </c>
      <c r="B11" s="29">
        <f t="shared" si="0"/>
        <v>2394.04652</v>
      </c>
      <c r="C11" s="29">
        <v>1779.577916</v>
      </c>
      <c r="D11" s="29">
        <v>614.468604</v>
      </c>
      <c r="E11" s="29">
        <f>SUM('Начисл.2016'!W18)/1000</f>
        <v>15972.527610000001</v>
      </c>
      <c r="F11" s="29">
        <f>SUM('Начисл.2016'!W17)/1000</f>
        <v>0</v>
      </c>
      <c r="G11" s="29">
        <v>0</v>
      </c>
      <c r="H11" s="29">
        <v>0</v>
      </c>
      <c r="I11" s="29">
        <f t="shared" si="1"/>
        <v>15972.527610000001</v>
      </c>
      <c r="J11" s="29">
        <f t="shared" si="1"/>
        <v>0</v>
      </c>
      <c r="K11" s="29">
        <f>SUM(L11)+'опл. июнь'!K11</f>
        <v>16796.1503</v>
      </c>
      <c r="L11" s="29">
        <v>184.82107</v>
      </c>
      <c r="M11" s="29">
        <f t="shared" si="2"/>
        <v>16796.1503</v>
      </c>
      <c r="N11" s="29">
        <f>SUM(N12/M12)*M11</f>
        <v>356.7147848748378</v>
      </c>
      <c r="O11" s="29">
        <f t="shared" si="3"/>
        <v>184.82107</v>
      </c>
      <c r="P11" s="29">
        <f t="shared" si="4"/>
        <v>1570.4238299999997</v>
      </c>
      <c r="Q11" s="29">
        <f>SUM(Q12/P12)*P11</f>
        <v>1194.1504089235386</v>
      </c>
      <c r="R11" s="29">
        <f>SUM(R12/Q12)*Q11</f>
        <v>376.2734210764609</v>
      </c>
      <c r="S11" s="38">
        <f t="shared" si="6"/>
        <v>1.0515649564120553</v>
      </c>
      <c r="T11" s="38">
        <f t="shared" si="5"/>
        <v>0.07720028347652994</v>
      </c>
    </row>
    <row r="12" spans="1:20" s="3" customFormat="1" ht="24" customHeight="1">
      <c r="A12" s="21" t="s">
        <v>61</v>
      </c>
      <c r="B12" s="26">
        <f>SUM(B6)+B7</f>
        <v>5988.27115</v>
      </c>
      <c r="C12" s="27">
        <f>SUM(C6)+C7</f>
        <v>4451.289898999999</v>
      </c>
      <c r="D12" s="27">
        <f>SUM(D6)+D7</f>
        <v>1536.9812510000002</v>
      </c>
      <c r="E12" s="27">
        <f>SUM('Начисл.2016'!AH18)/1000</f>
        <v>39497.00737</v>
      </c>
      <c r="F12" s="27">
        <f>SUM('Начисл.2016'!AH17)/1000</f>
        <v>3674.28394</v>
      </c>
      <c r="G12" s="27">
        <v>0</v>
      </c>
      <c r="H12" s="27">
        <v>0</v>
      </c>
      <c r="I12" s="27">
        <f t="shared" si="1"/>
        <v>39497.00737</v>
      </c>
      <c r="J12" s="27">
        <f t="shared" si="1"/>
        <v>3674.28394</v>
      </c>
      <c r="K12" s="27">
        <f>SUM('Начисл.2016'!AI18)/1000</f>
        <v>38589.2232</v>
      </c>
      <c r="L12" s="27">
        <f>SUM('Начисл.2016'!AI17)/1000</f>
        <v>3224.1906099999997</v>
      </c>
      <c r="M12" s="27">
        <f t="shared" si="2"/>
        <v>38589.2232</v>
      </c>
      <c r="N12" s="27">
        <f>SUM(N37)</f>
        <v>819.55366</v>
      </c>
      <c r="O12" s="27">
        <f t="shared" si="3"/>
        <v>3224.1906099999997</v>
      </c>
      <c r="P12" s="84">
        <f t="shared" si="4"/>
        <v>6896.0553199999995</v>
      </c>
      <c r="Q12" s="27">
        <f>SUM(T43)/1000</f>
        <v>5243.761030000001</v>
      </c>
      <c r="R12" s="27">
        <f>SUM(P12-Q12)</f>
        <v>1652.294289999999</v>
      </c>
      <c r="S12" s="38">
        <f t="shared" si="6"/>
        <v>0.9770163809754987</v>
      </c>
      <c r="T12" s="38">
        <f>SUM((L12)/(J12+B12))</f>
        <v>0.3336788851363744</v>
      </c>
    </row>
    <row r="13" spans="1:20" s="3" customFormat="1" ht="24" customHeight="1">
      <c r="A13" s="49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52"/>
    </row>
    <row r="14" spans="1:20" s="3" customFormat="1" ht="24" customHeight="1">
      <c r="A14" s="49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  <c r="T14" s="52"/>
    </row>
    <row r="16" ht="12.75">
      <c r="A16" t="s">
        <v>34</v>
      </c>
    </row>
    <row r="17" ht="12.75">
      <c r="A17" t="s">
        <v>35</v>
      </c>
    </row>
    <row r="24" ht="11.25" customHeight="1"/>
    <row r="25" ht="12.75" hidden="1"/>
    <row r="26" ht="12.75" hidden="1">
      <c r="N26">
        <f>SUM('опл. июнь'!N26)</f>
        <v>64.25493</v>
      </c>
    </row>
    <row r="27" ht="12.75" hidden="1">
      <c r="N27">
        <f>SUM('опл. июнь'!N27)</f>
        <v>122.42421</v>
      </c>
    </row>
    <row r="28" ht="12.75" hidden="1">
      <c r="N28">
        <f>SUM('опл. июнь'!N28)</f>
        <v>191.12239</v>
      </c>
    </row>
    <row r="29" ht="12.75" hidden="1">
      <c r="N29">
        <f>SUM('опл. июнь'!N29)</f>
        <v>224.8662</v>
      </c>
    </row>
    <row r="30" ht="12.75" hidden="1">
      <c r="N30">
        <f>SUM('опл. июнь'!N30)</f>
        <v>123.86081</v>
      </c>
    </row>
    <row r="31" ht="12.75" hidden="1">
      <c r="N31">
        <f>SUM('опл. июнь'!N31)</f>
        <v>59.06443</v>
      </c>
    </row>
    <row r="32" ht="12.75" hidden="1">
      <c r="N32">
        <v>33.96069</v>
      </c>
    </row>
    <row r="33" ht="12.75" hidden="1">
      <c r="N33">
        <v>0</v>
      </c>
    </row>
    <row r="34" spans="2:19" ht="12.75" hidden="1">
      <c r="B34">
        <f>SUM(B7,B6)</f>
        <v>5988.27115</v>
      </c>
      <c r="C34" s="36">
        <f>SUM(C7,C6)</f>
        <v>4451.289898999999</v>
      </c>
      <c r="D34">
        <f>SUM(D7,D6)</f>
        <v>1536.9812510000002</v>
      </c>
      <c r="E34" s="30">
        <f>SUM(E8:E11,E6)</f>
        <v>39497.00737</v>
      </c>
      <c r="F34" s="30">
        <f>SUM(F8:F11,F6)</f>
        <v>3674.28394</v>
      </c>
      <c r="G34" s="31">
        <v>0</v>
      </c>
      <c r="H34" s="31">
        <v>0</v>
      </c>
      <c r="I34" s="30">
        <f>SUM(I8:I11,I6)</f>
        <v>39497.00737</v>
      </c>
      <c r="J34" s="30">
        <f>SUM(J8:J11,J6)</f>
        <v>3674.28394</v>
      </c>
      <c r="K34" s="30">
        <f>SUM(K8:K11,K6)</f>
        <v>38589.2232</v>
      </c>
      <c r="L34" s="31">
        <f>SUM('Начисл.2016'!AI13)/1000</f>
        <v>5128.04309</v>
      </c>
      <c r="M34" s="31">
        <f>SUM('Начисл.2016'!AI18)/1000</f>
        <v>38589.2232</v>
      </c>
      <c r="N34" s="31">
        <v>0</v>
      </c>
      <c r="O34" s="31">
        <f>SUM('Начисл.2016'!AI17)/1000</f>
        <v>3224.1906099999997</v>
      </c>
      <c r="P34" s="33">
        <f>SUM('Начисл.2016'!AJ18)/1000</f>
        <v>6895.995609999992</v>
      </c>
      <c r="Q34" s="33">
        <f>SUM(T43)/1000</f>
        <v>5243.761030000001</v>
      </c>
      <c r="R34" s="30">
        <f>SUM(R8:R11,R6)</f>
        <v>1652.294289999999</v>
      </c>
      <c r="S34" s="31"/>
    </row>
    <row r="35" spans="2:19" ht="12.75" hidden="1">
      <c r="B35">
        <f>SUM(B8:B11,B6)</f>
        <v>5988.27115</v>
      </c>
      <c r="C35" s="36">
        <f>SUM(C8:C11,C6)</f>
        <v>4451.289898999999</v>
      </c>
      <c r="D35">
        <f>SUM(D8:D11,D6)</f>
        <v>1536.9812510000002</v>
      </c>
      <c r="E35" s="30">
        <f>SUM(E34-E12)</f>
        <v>0</v>
      </c>
      <c r="F35" s="30">
        <f>SUM(F34-F12)</f>
        <v>0</v>
      </c>
      <c r="G35" s="31">
        <v>0</v>
      </c>
      <c r="H35" s="31">
        <v>0</v>
      </c>
      <c r="I35" s="30">
        <f>SUM(I12-I34)</f>
        <v>0</v>
      </c>
      <c r="J35" s="30">
        <f aca="true" t="shared" si="7" ref="J35:R35">SUM(J12-J34)</f>
        <v>0</v>
      </c>
      <c r="K35" s="30">
        <f t="shared" si="7"/>
        <v>0</v>
      </c>
      <c r="L35" s="31"/>
      <c r="M35" s="30">
        <f t="shared" si="7"/>
        <v>0</v>
      </c>
      <c r="N35" s="31">
        <v>0</v>
      </c>
      <c r="O35" s="30">
        <f t="shared" si="7"/>
        <v>0</v>
      </c>
      <c r="P35" s="33">
        <f>SUM(P7,P6)</f>
        <v>6896.055319999998</v>
      </c>
      <c r="Q35" s="30">
        <f t="shared" si="7"/>
        <v>0</v>
      </c>
      <c r="R35" s="30">
        <f t="shared" si="7"/>
        <v>0</v>
      </c>
      <c r="S35" s="31"/>
    </row>
    <row r="36" spans="5:19" ht="12.75" hidden="1">
      <c r="E36" s="31"/>
      <c r="F36" s="31"/>
      <c r="G36" s="31"/>
      <c r="H36" s="31"/>
      <c r="I36" s="31"/>
      <c r="J36" s="31"/>
      <c r="K36" s="31"/>
      <c r="L36" s="31">
        <f>SUM(L34-L35)</f>
        <v>5128.04309</v>
      </c>
      <c r="M36" s="31"/>
      <c r="N36" s="31">
        <v>0</v>
      </c>
      <c r="O36" s="31"/>
      <c r="P36" s="33">
        <f>SUM(P34-P35)</f>
        <v>-0.059710000005907204</v>
      </c>
      <c r="Q36" s="33">
        <f>SUM(Q7,Q6)</f>
        <v>5243.761030000001</v>
      </c>
      <c r="R36" s="31"/>
      <c r="S36" s="31"/>
    </row>
    <row r="37" spans="5:19" ht="12.75" hidden="1">
      <c r="E37" s="31"/>
      <c r="F37" s="31"/>
      <c r="G37" s="31"/>
      <c r="H37" s="31"/>
      <c r="I37" s="31"/>
      <c r="J37" s="31"/>
      <c r="K37" s="31"/>
      <c r="L37" s="31"/>
      <c r="M37" s="31"/>
      <c r="N37" s="31">
        <f>SUM(N25:N36)</f>
        <v>819.55366</v>
      </c>
      <c r="O37" s="31"/>
      <c r="P37" s="31"/>
      <c r="Q37" s="31"/>
      <c r="R37" s="31"/>
      <c r="S37" s="31"/>
    </row>
    <row r="38" spans="5:19" ht="12.75" hidden="1">
      <c r="E38" s="31"/>
      <c r="F38" s="31"/>
      <c r="G38" s="31"/>
      <c r="H38" s="31"/>
      <c r="I38" s="31"/>
      <c r="J38" s="31"/>
      <c r="K38" s="31"/>
      <c r="L38" s="31"/>
      <c r="M38" s="31"/>
      <c r="N38" s="32"/>
      <c r="O38" s="31"/>
      <c r="P38" s="31"/>
      <c r="Q38" s="31"/>
      <c r="R38" s="31"/>
      <c r="S38" s="31"/>
    </row>
    <row r="39" spans="5:19" ht="12.75" hidden="1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47">
        <f>SUM(B12-P12)*1000</f>
        <v>-907784.1699999999</v>
      </c>
      <c r="Q39" s="31"/>
      <c r="R39" s="31"/>
      <c r="S39" s="31"/>
    </row>
    <row r="40" spans="5:19" ht="12.75" hidden="1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ht="12.75" hidden="1"/>
    <row r="42" ht="12.75" hidden="1">
      <c r="T42" s="31" t="s">
        <v>3</v>
      </c>
    </row>
    <row r="43" spans="19:21" ht="12.75" hidden="1">
      <c r="S43" s="83">
        <f>SUM(T43:W43)</f>
        <v>5243761.03</v>
      </c>
      <c r="T43" s="91">
        <v>5243761.03</v>
      </c>
      <c r="U43" s="91"/>
    </row>
    <row r="44" spans="20:21" ht="12.75" hidden="1">
      <c r="T44" s="93">
        <v>1089481.34</v>
      </c>
      <c r="U44" s="83"/>
    </row>
    <row r="45" ht="12.75" hidden="1"/>
    <row r="46" ht="12.75" hidden="1"/>
    <row r="47" ht="12.75" hidden="1"/>
  </sheetData>
  <sheetProtection/>
  <mergeCells count="26">
    <mergeCell ref="A1:T1"/>
    <mergeCell ref="A3:A5"/>
    <mergeCell ref="B3:D3"/>
    <mergeCell ref="E3:F3"/>
    <mergeCell ref="G3:H3"/>
    <mergeCell ref="I3:J3"/>
    <mergeCell ref="K3:L3"/>
    <mergeCell ref="M3:O3"/>
    <mergeCell ref="P3:R3"/>
    <mergeCell ref="S3:T3"/>
    <mergeCell ref="B4:B5"/>
    <mergeCell ref="C4:D4"/>
    <mergeCell ref="E4:E5"/>
    <mergeCell ref="F4:F5"/>
    <mergeCell ref="G4:G5"/>
    <mergeCell ref="H4:H5"/>
    <mergeCell ref="P4:P5"/>
    <mergeCell ref="Q4:R4"/>
    <mergeCell ref="S4:S5"/>
    <mergeCell ref="T4:T5"/>
    <mergeCell ref="I4:I5"/>
    <mergeCell ref="J4:J5"/>
    <mergeCell ref="K4:K5"/>
    <mergeCell ref="L4:L5"/>
    <mergeCell ref="M4:N4"/>
    <mergeCell ref="O4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7">
      <selection activeCell="T12" sqref="T12"/>
    </sheetView>
  </sheetViews>
  <sheetFormatPr defaultColWidth="9.140625" defaultRowHeight="12.75"/>
  <cols>
    <col min="1" max="1" width="21.7109375" style="0" customWidth="1"/>
    <col min="2" max="4" width="7.00390625" style="0" customWidth="1"/>
    <col min="5" max="5" width="7.57421875" style="0" customWidth="1"/>
    <col min="6" max="6" width="7.421875" style="0" customWidth="1"/>
    <col min="7" max="7" width="5.140625" style="0" hidden="1" customWidth="1"/>
    <col min="8" max="8" width="4.8515625" style="0" hidden="1" customWidth="1"/>
    <col min="9" max="9" width="8.140625" style="0" customWidth="1"/>
    <col min="10" max="10" width="6.8515625" style="0" customWidth="1"/>
    <col min="11" max="11" width="7.8515625" style="0" customWidth="1"/>
    <col min="12" max="12" width="7.421875" style="0" customWidth="1"/>
    <col min="13" max="13" width="8.421875" style="0" customWidth="1"/>
    <col min="14" max="14" width="8.28125" style="0" customWidth="1"/>
    <col min="15" max="15" width="7.421875" style="0" customWidth="1"/>
    <col min="16" max="16" width="7.00390625" style="0" customWidth="1"/>
    <col min="17" max="17" width="6.140625" style="0" customWidth="1"/>
    <col min="18" max="18" width="7.00390625" style="0" customWidth="1"/>
    <col min="19" max="19" width="7.28125" style="0" customWidth="1"/>
    <col min="20" max="20" width="7.140625" style="0" customWidth="1"/>
  </cols>
  <sheetData>
    <row r="1" spans="1:20" s="48" customFormat="1" ht="12.75">
      <c r="A1" s="109" t="s">
        <v>107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3" spans="1:20" s="2" customFormat="1" ht="77.25" customHeight="1">
      <c r="A3" s="107" t="s">
        <v>40</v>
      </c>
      <c r="B3" s="107" t="s">
        <v>41</v>
      </c>
      <c r="C3" s="107"/>
      <c r="D3" s="107"/>
      <c r="E3" s="107" t="s">
        <v>42</v>
      </c>
      <c r="F3" s="107"/>
      <c r="G3" s="107" t="s">
        <v>43</v>
      </c>
      <c r="H3" s="107"/>
      <c r="I3" s="107" t="s">
        <v>44</v>
      </c>
      <c r="J3" s="107"/>
      <c r="K3" s="107" t="s">
        <v>45</v>
      </c>
      <c r="L3" s="107"/>
      <c r="M3" s="107" t="s">
        <v>46</v>
      </c>
      <c r="N3" s="107"/>
      <c r="O3" s="107"/>
      <c r="P3" s="107" t="s">
        <v>47</v>
      </c>
      <c r="Q3" s="107"/>
      <c r="R3" s="107"/>
      <c r="S3" s="107" t="s">
        <v>64</v>
      </c>
      <c r="T3" s="107"/>
    </row>
    <row r="4" spans="1:20" s="2" customFormat="1" ht="28.5" customHeight="1">
      <c r="A4" s="107"/>
      <c r="B4" s="107" t="s">
        <v>33</v>
      </c>
      <c r="C4" s="107" t="s">
        <v>15</v>
      </c>
      <c r="D4" s="107"/>
      <c r="E4" s="108" t="s">
        <v>48</v>
      </c>
      <c r="F4" s="108" t="s">
        <v>49</v>
      </c>
      <c r="G4" s="108" t="s">
        <v>48</v>
      </c>
      <c r="H4" s="108" t="s">
        <v>49</v>
      </c>
      <c r="I4" s="108" t="s">
        <v>48</v>
      </c>
      <c r="J4" s="108" t="s">
        <v>49</v>
      </c>
      <c r="K4" s="108" t="s">
        <v>48</v>
      </c>
      <c r="L4" s="108" t="s">
        <v>49</v>
      </c>
      <c r="M4" s="107" t="s">
        <v>50</v>
      </c>
      <c r="N4" s="107"/>
      <c r="O4" s="108" t="s">
        <v>51</v>
      </c>
      <c r="P4" s="107" t="s">
        <v>33</v>
      </c>
      <c r="Q4" s="107" t="s">
        <v>15</v>
      </c>
      <c r="R4" s="107"/>
      <c r="S4" s="108" t="s">
        <v>62</v>
      </c>
      <c r="T4" s="108" t="s">
        <v>63</v>
      </c>
    </row>
    <row r="5" spans="1:20" s="2" customFormat="1" ht="103.5" customHeight="1">
      <c r="A5" s="107"/>
      <c r="B5" s="107"/>
      <c r="C5" s="22" t="s">
        <v>52</v>
      </c>
      <c r="D5" s="22" t="s">
        <v>53</v>
      </c>
      <c r="E5" s="108"/>
      <c r="F5" s="108"/>
      <c r="G5" s="108"/>
      <c r="H5" s="108"/>
      <c r="I5" s="108"/>
      <c r="J5" s="108"/>
      <c r="K5" s="108"/>
      <c r="L5" s="108"/>
      <c r="M5" s="1" t="s">
        <v>33</v>
      </c>
      <c r="N5" s="23" t="s">
        <v>54</v>
      </c>
      <c r="O5" s="108"/>
      <c r="P5" s="107"/>
      <c r="Q5" s="22" t="s">
        <v>52</v>
      </c>
      <c r="R5" s="22" t="s">
        <v>53</v>
      </c>
      <c r="S5" s="108"/>
      <c r="T5" s="108"/>
    </row>
    <row r="6" spans="1:20" s="3" customFormat="1" ht="24.75" customHeight="1">
      <c r="A6" s="21" t="s">
        <v>55</v>
      </c>
      <c r="B6" s="26">
        <f aca="true" t="shared" si="0" ref="B6:B11">SUM(C6:D6)</f>
        <v>2037.0782399999998</v>
      </c>
      <c r="C6" s="26">
        <v>1514.230997</v>
      </c>
      <c r="D6" s="27">
        <v>522.847243</v>
      </c>
      <c r="E6" s="27">
        <f>SUM(E12-E7)</f>
        <v>17298.16175</v>
      </c>
      <c r="F6" s="27">
        <f>SUM(F12-F7)</f>
        <v>2295.04237</v>
      </c>
      <c r="G6" s="27">
        <v>0</v>
      </c>
      <c r="H6" s="27">
        <v>0</v>
      </c>
      <c r="I6" s="27">
        <f aca="true" t="shared" si="1" ref="I6:J12">SUM(E6-G6)</f>
        <v>17298.16175</v>
      </c>
      <c r="J6" s="27">
        <f t="shared" si="1"/>
        <v>2295.04237</v>
      </c>
      <c r="K6" s="27">
        <f>SUM(L6)+'опл. Июль'!K6</f>
        <v>16474.40021</v>
      </c>
      <c r="L6" s="27">
        <f>SUM(L12-L7)</f>
        <v>2536.03784</v>
      </c>
      <c r="M6" s="27">
        <f aca="true" t="shared" si="2" ref="M6:M12">SUM(K6)</f>
        <v>16474.40021</v>
      </c>
      <c r="N6" s="27">
        <f>SUM(N12-N7)</f>
        <v>340.5480390455715</v>
      </c>
      <c r="O6" s="27">
        <f aca="true" t="shared" si="3" ref="O6:O12">SUM(L6)</f>
        <v>2536.03784</v>
      </c>
      <c r="P6" s="27">
        <f aca="true" t="shared" si="4" ref="P6:P11">SUM(B6+E6-K6)</f>
        <v>2860.8397799999984</v>
      </c>
      <c r="Q6" s="27">
        <f>SUM(Q12-Q7)</f>
        <v>2300.7333933014297</v>
      </c>
      <c r="R6" s="27">
        <f>SUM(R12-R7)</f>
        <v>560.1063866985663</v>
      </c>
      <c r="S6" s="38">
        <f>SUM((K6)/(E6))</f>
        <v>0.9523786659007278</v>
      </c>
      <c r="T6" s="38">
        <f>SUM(L6/J6)</f>
        <v>1.105006980764368</v>
      </c>
    </row>
    <row r="7" spans="1:20" s="3" customFormat="1" ht="41.25" customHeight="1">
      <c r="A7" s="21" t="s">
        <v>56</v>
      </c>
      <c r="B7" s="26">
        <f t="shared" si="0"/>
        <v>3951.1929099999998</v>
      </c>
      <c r="C7" s="27">
        <f>SUM(C8:C11)</f>
        <v>2937.0589019999998</v>
      </c>
      <c r="D7" s="27">
        <f>SUM(D8:D11)</f>
        <v>1014.134008</v>
      </c>
      <c r="E7" s="27">
        <f>SUM(E8:E11)</f>
        <v>25887.7227</v>
      </c>
      <c r="F7" s="27">
        <f>SUM(F8:F11)</f>
        <v>1393.83471</v>
      </c>
      <c r="G7" s="27">
        <v>0</v>
      </c>
      <c r="H7" s="27">
        <v>0</v>
      </c>
      <c r="I7" s="27">
        <f t="shared" si="1"/>
        <v>25887.7227</v>
      </c>
      <c r="J7" s="27">
        <f t="shared" si="1"/>
        <v>1393.83471</v>
      </c>
      <c r="K7" s="27">
        <f>SUM(L7)+'опл. Июль'!K7</f>
        <v>26279.488599999997</v>
      </c>
      <c r="L7" s="27">
        <f>SUM(L8:L11)</f>
        <v>1628.62777</v>
      </c>
      <c r="M7" s="27">
        <f t="shared" si="2"/>
        <v>26279.488599999997</v>
      </c>
      <c r="N7" s="27">
        <f>SUM(N12/M12)*M7</f>
        <v>543.2324209544286</v>
      </c>
      <c r="O7" s="27">
        <f t="shared" si="3"/>
        <v>1628.62777</v>
      </c>
      <c r="P7" s="27">
        <f t="shared" si="4"/>
        <v>3559.4270099999994</v>
      </c>
      <c r="Q7" s="27">
        <f>SUM(Q8:Q11)</f>
        <v>2862.54848669857</v>
      </c>
      <c r="R7" s="27">
        <f>SUM(R8:R11)</f>
        <v>696.8785233014283</v>
      </c>
      <c r="S7" s="38">
        <f aca="true" t="shared" si="5" ref="S7:S12">SUM((K7)/(E7))</f>
        <v>1.0151332701041331</v>
      </c>
      <c r="T7" s="38">
        <f aca="true" t="shared" si="6" ref="T7:T12">SUM(L7/J7)</f>
        <v>1.1684511501367332</v>
      </c>
    </row>
    <row r="8" spans="1:20" s="2" customFormat="1" ht="24.75" customHeight="1">
      <c r="A8" s="20" t="s">
        <v>57</v>
      </c>
      <c r="B8" s="28">
        <f t="shared" si="0"/>
        <v>983.69713</v>
      </c>
      <c r="C8" s="29">
        <v>731.216237</v>
      </c>
      <c r="D8" s="29">
        <v>252.480893</v>
      </c>
      <c r="E8" s="29">
        <f>SUM('Начисл.2016'!U20)/1000</f>
        <v>6353.09092</v>
      </c>
      <c r="F8" s="29">
        <f>SUM('Начисл.2016'!U19)/1000</f>
        <v>909.67218</v>
      </c>
      <c r="G8" s="29">
        <v>0</v>
      </c>
      <c r="H8" s="29">
        <v>0</v>
      </c>
      <c r="I8" s="29">
        <f t="shared" si="1"/>
        <v>6353.09092</v>
      </c>
      <c r="J8" s="29">
        <f t="shared" si="1"/>
        <v>909.67218</v>
      </c>
      <c r="K8" s="29">
        <f>SUM(L8)+'опл. Июль'!K8</f>
        <v>5964.85762</v>
      </c>
      <c r="L8" s="29">
        <v>970.8904</v>
      </c>
      <c r="M8" s="29">
        <f t="shared" si="2"/>
        <v>5964.85762</v>
      </c>
      <c r="N8" s="29">
        <f>SUM(N12/M12)*M8</f>
        <v>123.30164010729916</v>
      </c>
      <c r="O8" s="29">
        <f t="shared" si="3"/>
        <v>970.8904</v>
      </c>
      <c r="P8" s="29">
        <f t="shared" si="4"/>
        <v>1371.9304299999994</v>
      </c>
      <c r="Q8" s="29">
        <f>SUM(Q12/P12)*P8</f>
        <v>1103.3285315920043</v>
      </c>
      <c r="R8" s="29">
        <f>SUM(R12/Q12)*Q8</f>
        <v>268.6018984079951</v>
      </c>
      <c r="S8" s="38">
        <f t="shared" si="5"/>
        <v>0.9388906431705845</v>
      </c>
      <c r="T8" s="38">
        <f t="shared" si="6"/>
        <v>1.0672970124248495</v>
      </c>
    </row>
    <row r="9" spans="1:20" s="2" customFormat="1" ht="21.75" customHeight="1">
      <c r="A9" s="20" t="s">
        <v>58</v>
      </c>
      <c r="B9" s="28">
        <f t="shared" si="0"/>
        <v>573.44926</v>
      </c>
      <c r="C9" s="29">
        <v>426.264749</v>
      </c>
      <c r="D9" s="29">
        <v>147.184511</v>
      </c>
      <c r="E9" s="29">
        <f>SUM('Начисл.2016'!V20)/1000</f>
        <v>3562.10417</v>
      </c>
      <c r="F9" s="29">
        <f>SUM('Начисл.2016'!V19)/1000</f>
        <v>484.16253</v>
      </c>
      <c r="G9" s="29">
        <v>0</v>
      </c>
      <c r="H9" s="29">
        <v>0</v>
      </c>
      <c r="I9" s="29">
        <f t="shared" si="1"/>
        <v>3562.10417</v>
      </c>
      <c r="J9" s="29">
        <f t="shared" si="1"/>
        <v>484.16253</v>
      </c>
      <c r="K9" s="29">
        <f>SUM(L9)+'опл. Июль'!K9</f>
        <v>3375.33284</v>
      </c>
      <c r="L9" s="29">
        <v>514.58953</v>
      </c>
      <c r="M9" s="29">
        <f t="shared" si="2"/>
        <v>3375.33284</v>
      </c>
      <c r="N9" s="29">
        <f>SUM(N12/M12)*M9</f>
        <v>69.77267549263448</v>
      </c>
      <c r="O9" s="29">
        <f t="shared" si="3"/>
        <v>514.58953</v>
      </c>
      <c r="P9" s="29">
        <f t="shared" si="4"/>
        <v>760.2205899999999</v>
      </c>
      <c r="Q9" s="29">
        <f>SUM(Q12/P12)*P9</f>
        <v>611.3816334336337</v>
      </c>
      <c r="R9" s="29">
        <f>SUM(R12/Q12)*Q9</f>
        <v>148.83895656636625</v>
      </c>
      <c r="S9" s="38">
        <f t="shared" si="5"/>
        <v>0.9475671341750794</v>
      </c>
      <c r="T9" s="38">
        <f t="shared" si="6"/>
        <v>1.0628445988994646</v>
      </c>
    </row>
    <row r="10" spans="1:20" s="2" customFormat="1" ht="20.25" customHeight="1" hidden="1">
      <c r="A10" s="20" t="s">
        <v>59</v>
      </c>
      <c r="B10" s="28">
        <f t="shared" si="0"/>
        <v>0</v>
      </c>
      <c r="C10" s="28">
        <v>0</v>
      </c>
      <c r="D10" s="28">
        <v>0</v>
      </c>
      <c r="E10" s="29">
        <f>SUM('Начисл.2016'!Y20)/1000</f>
        <v>0</v>
      </c>
      <c r="F10" s="29">
        <f>SUM('Начисл.2016'!Y19)/1000</f>
        <v>0</v>
      </c>
      <c r="G10" s="29">
        <v>0</v>
      </c>
      <c r="H10" s="29">
        <v>0</v>
      </c>
      <c r="I10" s="29">
        <f t="shared" si="1"/>
        <v>0</v>
      </c>
      <c r="J10" s="29">
        <f t="shared" si="1"/>
        <v>0</v>
      </c>
      <c r="K10" s="29">
        <f>SUM(L10)+'опл. Июль'!K10</f>
        <v>0</v>
      </c>
      <c r="L10" s="29"/>
      <c r="M10" s="29">
        <f t="shared" si="2"/>
        <v>0</v>
      </c>
      <c r="N10" s="29">
        <f>SUM(N12/M12)*M10</f>
        <v>0</v>
      </c>
      <c r="O10" s="29">
        <f t="shared" si="3"/>
        <v>0</v>
      </c>
      <c r="P10" s="29">
        <f t="shared" si="4"/>
        <v>0</v>
      </c>
      <c r="Q10" s="29">
        <f>SUM(Q12/P12)*P10</f>
        <v>0</v>
      </c>
      <c r="R10" s="29">
        <f>SUM(P10-Q10)</f>
        <v>0</v>
      </c>
      <c r="S10" s="38" t="e">
        <f t="shared" si="5"/>
        <v>#DIV/0!</v>
      </c>
      <c r="T10" s="38" t="e">
        <f t="shared" si="6"/>
        <v>#DIV/0!</v>
      </c>
    </row>
    <row r="11" spans="1:20" s="2" customFormat="1" ht="21" customHeight="1">
      <c r="A11" s="20" t="s">
        <v>60</v>
      </c>
      <c r="B11" s="29">
        <f t="shared" si="0"/>
        <v>2394.04652</v>
      </c>
      <c r="C11" s="29">
        <v>1779.577916</v>
      </c>
      <c r="D11" s="29">
        <v>614.468604</v>
      </c>
      <c r="E11" s="29">
        <f>SUM('Начисл.2016'!W20)/1000</f>
        <v>15972.527610000001</v>
      </c>
      <c r="F11" s="29">
        <f>SUM('Начисл.2016'!W19)/1000</f>
        <v>0</v>
      </c>
      <c r="G11" s="29">
        <v>0</v>
      </c>
      <c r="H11" s="29">
        <v>0</v>
      </c>
      <c r="I11" s="29">
        <f t="shared" si="1"/>
        <v>15972.527610000001</v>
      </c>
      <c r="J11" s="29">
        <f t="shared" si="1"/>
        <v>0</v>
      </c>
      <c r="K11" s="29">
        <f>SUM(L11)+'опл. Июль'!K11</f>
        <v>16939.298140000003</v>
      </c>
      <c r="L11" s="29">
        <v>143.14784</v>
      </c>
      <c r="M11" s="29">
        <f t="shared" si="2"/>
        <v>16939.298140000003</v>
      </c>
      <c r="N11" s="29">
        <f>SUM(N12/M12)*M11</f>
        <v>350.15810535449504</v>
      </c>
      <c r="O11" s="29">
        <f t="shared" si="3"/>
        <v>143.14784</v>
      </c>
      <c r="P11" s="29">
        <f t="shared" si="4"/>
        <v>1427.2759899999983</v>
      </c>
      <c r="Q11" s="29">
        <f>SUM(Q12/P12)*P11</f>
        <v>1147.8383216729314</v>
      </c>
      <c r="R11" s="29">
        <f>SUM(R12/Q12)*Q11</f>
        <v>279.43766832706694</v>
      </c>
      <c r="S11" s="38">
        <f t="shared" si="5"/>
        <v>1.060527084604614</v>
      </c>
      <c r="T11" s="38">
        <v>0</v>
      </c>
    </row>
    <row r="12" spans="1:20" s="3" customFormat="1" ht="24" customHeight="1">
      <c r="A12" s="21" t="s">
        <v>61</v>
      </c>
      <c r="B12" s="26">
        <f>SUM(B6)+B7</f>
        <v>5988.27115</v>
      </c>
      <c r="C12" s="27">
        <f>SUM(C6)+C7</f>
        <v>4451.289898999999</v>
      </c>
      <c r="D12" s="27">
        <f>SUM(D6)+D7</f>
        <v>1536.9812510000002</v>
      </c>
      <c r="E12" s="27">
        <f>SUM('Начисл.2016'!AH20)/1000</f>
        <v>43185.88445</v>
      </c>
      <c r="F12" s="27">
        <f>SUM('Начисл.2016'!AH19)/1000</f>
        <v>3688.87708</v>
      </c>
      <c r="G12" s="27">
        <v>0</v>
      </c>
      <c r="H12" s="27">
        <v>0</v>
      </c>
      <c r="I12" s="27">
        <f t="shared" si="1"/>
        <v>43185.88445</v>
      </c>
      <c r="J12" s="27">
        <f t="shared" si="1"/>
        <v>3688.87708</v>
      </c>
      <c r="K12" s="27">
        <f>SUM('Начисл.2016'!AI20)/1000</f>
        <v>42753.888810000004</v>
      </c>
      <c r="L12" s="53">
        <f>SUM('Начисл.2016'!AI19)/1000</f>
        <v>4164.66561</v>
      </c>
      <c r="M12" s="27">
        <f t="shared" si="2"/>
        <v>42753.888810000004</v>
      </c>
      <c r="N12" s="27">
        <f>SUM(N38)</f>
        <v>883.7804600000001</v>
      </c>
      <c r="O12" s="27">
        <f t="shared" si="3"/>
        <v>4164.66561</v>
      </c>
      <c r="P12" s="27">
        <f>SUM(B12+E12-K12)</f>
        <v>6420.266789999994</v>
      </c>
      <c r="Q12" s="27">
        <f>SUM(P12-R12)</f>
        <v>5163.28188</v>
      </c>
      <c r="R12" s="27">
        <f>SUM(P12)-W44/1000</f>
        <v>1256.9849099999947</v>
      </c>
      <c r="S12" s="38">
        <f t="shared" si="5"/>
        <v>0.9899968324024914</v>
      </c>
      <c r="T12" s="38">
        <f t="shared" si="6"/>
        <v>1.1289792312624307</v>
      </c>
    </row>
    <row r="13" spans="1:20" s="3" customFormat="1" ht="24" customHeight="1">
      <c r="A13" s="49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52"/>
    </row>
    <row r="14" spans="1:20" s="3" customFormat="1" ht="24" customHeight="1">
      <c r="A14" s="49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  <c r="T14" s="52"/>
    </row>
    <row r="16" ht="12.75">
      <c r="A16" t="s">
        <v>34</v>
      </c>
    </row>
    <row r="17" ht="12.75">
      <c r="A17" t="s">
        <v>35</v>
      </c>
    </row>
    <row r="25" ht="12.75" hidden="1"/>
    <row r="26" ht="12.75" hidden="1">
      <c r="N26">
        <f>SUM('опл. Июль'!N26)</f>
        <v>64.25493</v>
      </c>
    </row>
    <row r="27" ht="12.75" hidden="1">
      <c r="N27">
        <f>SUM('опл. Июль'!N27)</f>
        <v>122.42421</v>
      </c>
    </row>
    <row r="28" ht="12.75" hidden="1">
      <c r="N28">
        <f>SUM('опл. Июль'!N28)</f>
        <v>191.12239</v>
      </c>
    </row>
    <row r="29" ht="12.75" hidden="1">
      <c r="N29">
        <f>SUM('опл. Июль'!N29)</f>
        <v>224.8662</v>
      </c>
    </row>
    <row r="30" ht="12.75" hidden="1">
      <c r="N30">
        <f>SUM('опл. Июль'!N30)</f>
        <v>123.86081</v>
      </c>
    </row>
    <row r="31" ht="12.75" hidden="1">
      <c r="N31">
        <f>SUM('опл. Июль'!N31)</f>
        <v>59.06443</v>
      </c>
    </row>
    <row r="32" ht="12.75" hidden="1">
      <c r="N32">
        <f>SUM('опл. Июль'!N32)</f>
        <v>33.96069</v>
      </c>
    </row>
    <row r="33" ht="12.75" hidden="1">
      <c r="N33">
        <v>64.2268</v>
      </c>
    </row>
    <row r="34" spans="2:21" ht="12.75" hidden="1">
      <c r="B34">
        <f>SUM(B7,B6)</f>
        <v>5988.27115</v>
      </c>
      <c r="C34" s="36">
        <f>SUM(C7,C6)</f>
        <v>4451.289898999999</v>
      </c>
      <c r="D34">
        <f>SUM(D7,D6)</f>
        <v>1536.9812510000002</v>
      </c>
      <c r="E34" s="30">
        <f>SUM(E8:E11,E6)</f>
        <v>43185.88445</v>
      </c>
      <c r="F34" s="30">
        <f>SUM(F8:F11,F6)</f>
        <v>3688.87708</v>
      </c>
      <c r="G34" s="31">
        <v>0</v>
      </c>
      <c r="H34" s="31">
        <v>0</v>
      </c>
      <c r="I34" s="30">
        <f>SUM(I8:I11,I6)</f>
        <v>43185.88445</v>
      </c>
      <c r="J34" s="30">
        <f>SUM(J8:J11,J6)</f>
        <v>3688.87708</v>
      </c>
      <c r="K34" s="30">
        <f>SUM(K8:K11,K6)</f>
        <v>42753.888810000004</v>
      </c>
      <c r="L34" s="31">
        <f>SUM('Начисл.2016'!AI13)/1000</f>
        <v>5128.04309</v>
      </c>
      <c r="M34" s="31">
        <f>SUM('Начисл.2016'!AI20)/1000</f>
        <v>42753.888810000004</v>
      </c>
      <c r="N34" s="31">
        <v>0</v>
      </c>
      <c r="O34" s="31">
        <f>SUM('Начисл.2016'!AI19)/1000</f>
        <v>4164.66561</v>
      </c>
      <c r="P34" s="33">
        <f>SUM('Начисл.2016'!AJ20)/1000</f>
        <v>6420.207079999991</v>
      </c>
      <c r="Q34" s="33">
        <f>SUM(T44)/1000</f>
        <v>5163.28188</v>
      </c>
      <c r="R34" s="30">
        <f>SUM(R8:R11,R6)</f>
        <v>1256.9849099999947</v>
      </c>
      <c r="S34" s="31"/>
      <c r="U34" s="36">
        <f>SUM(Q34:R34)</f>
        <v>6420.266789999994</v>
      </c>
    </row>
    <row r="35" spans="2:19" ht="12.75" hidden="1">
      <c r="B35">
        <f>SUM(B8:B11,B6)</f>
        <v>5988.27115</v>
      </c>
      <c r="C35" s="36">
        <f>SUM(C8:C11,C6)</f>
        <v>4451.289898999999</v>
      </c>
      <c r="D35">
        <f>SUM(D8:D11,D6)</f>
        <v>1536.9812510000002</v>
      </c>
      <c r="E35" s="30">
        <f>SUM(E34-E12)</f>
        <v>0</v>
      </c>
      <c r="F35" s="30">
        <f>SUM(F34-F12)</f>
        <v>0</v>
      </c>
      <c r="G35" s="31">
        <v>0</v>
      </c>
      <c r="H35" s="31">
        <v>0</v>
      </c>
      <c r="I35" s="30">
        <f>SUM(I12-I34)</f>
        <v>0</v>
      </c>
      <c r="J35" s="30">
        <f aca="true" t="shared" si="7" ref="J35:R35">SUM(J12-J34)</f>
        <v>0</v>
      </c>
      <c r="K35" s="30">
        <f t="shared" si="7"/>
        <v>0</v>
      </c>
      <c r="L35" s="31"/>
      <c r="M35" s="30">
        <f t="shared" si="7"/>
        <v>0</v>
      </c>
      <c r="N35" s="31">
        <v>0</v>
      </c>
      <c r="O35" s="30">
        <f t="shared" si="7"/>
        <v>0</v>
      </c>
      <c r="P35" s="33">
        <f>SUM(P7,P6)</f>
        <v>6420.266789999998</v>
      </c>
      <c r="Q35" s="30">
        <f t="shared" si="7"/>
        <v>0</v>
      </c>
      <c r="R35" s="30">
        <f t="shared" si="7"/>
        <v>0</v>
      </c>
      <c r="S35" s="31"/>
    </row>
    <row r="36" spans="5:19" ht="12.75" hidden="1">
      <c r="E36" s="31"/>
      <c r="F36" s="31"/>
      <c r="G36" s="31"/>
      <c r="H36" s="31"/>
      <c r="I36" s="31"/>
      <c r="J36" s="31"/>
      <c r="K36" s="31"/>
      <c r="L36" s="31">
        <f>SUM(L34-L35)</f>
        <v>5128.04309</v>
      </c>
      <c r="M36" s="31"/>
      <c r="N36" s="31">
        <v>0</v>
      </c>
      <c r="O36" s="31"/>
      <c r="P36" s="33">
        <f>SUM(P34-P35)</f>
        <v>-0.0597100000068167</v>
      </c>
      <c r="Q36" s="33">
        <f>SUM(Q7,Q6)</f>
        <v>5163.28188</v>
      </c>
      <c r="R36" s="31"/>
      <c r="S36" s="31"/>
    </row>
    <row r="37" spans="5:19" ht="12.75" hidden="1">
      <c r="E37" s="31"/>
      <c r="F37" s="31"/>
      <c r="G37" s="31"/>
      <c r="H37" s="31"/>
      <c r="I37" s="31"/>
      <c r="J37" s="31"/>
      <c r="K37" s="31"/>
      <c r="L37" s="31"/>
      <c r="M37" s="31"/>
      <c r="N37" s="31">
        <v>0</v>
      </c>
      <c r="O37" s="31"/>
      <c r="P37" s="33"/>
      <c r="Q37" s="33"/>
      <c r="R37" s="31"/>
      <c r="S37" s="31"/>
    </row>
    <row r="38" spans="5:19" ht="12.75" hidden="1">
      <c r="E38" s="31"/>
      <c r="F38" s="31"/>
      <c r="G38" s="31"/>
      <c r="H38" s="31"/>
      <c r="I38" s="31"/>
      <c r="J38" s="31"/>
      <c r="K38" s="31"/>
      <c r="L38" s="31"/>
      <c r="M38" s="31"/>
      <c r="N38" s="31">
        <f>SUM(N25:N37)</f>
        <v>883.7804600000001</v>
      </c>
      <c r="O38" s="31"/>
      <c r="P38" s="31"/>
      <c r="Q38" s="31"/>
      <c r="R38" s="31"/>
      <c r="S38" s="31"/>
    </row>
    <row r="39" spans="5:19" ht="12.75" hidden="1">
      <c r="E39" s="31"/>
      <c r="F39" s="31"/>
      <c r="G39" s="31"/>
      <c r="H39" s="31"/>
      <c r="I39" s="31"/>
      <c r="J39" s="31"/>
      <c r="K39" s="31"/>
      <c r="L39" s="31"/>
      <c r="M39" s="31"/>
      <c r="N39" s="32"/>
      <c r="O39" s="31"/>
      <c r="P39" s="31"/>
      <c r="Q39" s="31"/>
      <c r="R39" s="31"/>
      <c r="S39" s="31"/>
    </row>
    <row r="40" spans="5:19" ht="12.75" hidden="1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5:19" ht="12.75" hidden="1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ht="12.75" hidden="1"/>
    <row r="43" ht="12.75" hidden="1">
      <c r="T43" s="31" t="s">
        <v>3</v>
      </c>
    </row>
    <row r="44" spans="19:23" ht="12.75" hidden="1">
      <c r="S44">
        <f>SUM(T44:W44)</f>
        <v>10326563.76</v>
      </c>
      <c r="T44" s="33">
        <f>SUM(Q12)*1000</f>
        <v>5163281.88</v>
      </c>
      <c r="W44">
        <v>5163281.88</v>
      </c>
    </row>
    <row r="45" spans="20:21" ht="12.75" hidden="1">
      <c r="T45">
        <v>1917301.95</v>
      </c>
      <c r="U45" s="64" t="s">
        <v>92</v>
      </c>
    </row>
    <row r="46" ht="12.75" hidden="1"/>
  </sheetData>
  <sheetProtection/>
  <mergeCells count="26">
    <mergeCell ref="P4:P5"/>
    <mergeCell ref="Q4:R4"/>
    <mergeCell ref="S4:S5"/>
    <mergeCell ref="T4:T5"/>
    <mergeCell ref="I4:I5"/>
    <mergeCell ref="J4:J5"/>
    <mergeCell ref="K4:K5"/>
    <mergeCell ref="L4:L5"/>
    <mergeCell ref="M4:N4"/>
    <mergeCell ref="O4:O5"/>
    <mergeCell ref="B4:B5"/>
    <mergeCell ref="C4:D4"/>
    <mergeCell ref="E4:E5"/>
    <mergeCell ref="F4:F5"/>
    <mergeCell ref="G4:G5"/>
    <mergeCell ref="H4:H5"/>
    <mergeCell ref="A1:T1"/>
    <mergeCell ref="A3:A5"/>
    <mergeCell ref="B3:D3"/>
    <mergeCell ref="E3:F3"/>
    <mergeCell ref="G3:H3"/>
    <mergeCell ref="I3:J3"/>
    <mergeCell ref="K3:L3"/>
    <mergeCell ref="M3:O3"/>
    <mergeCell ref="P3:R3"/>
    <mergeCell ref="S3:T3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0">
      <selection activeCell="W26" sqref="W26"/>
    </sheetView>
  </sheetViews>
  <sheetFormatPr defaultColWidth="9.140625" defaultRowHeight="12.75"/>
  <cols>
    <col min="1" max="1" width="21.7109375" style="0" customWidth="1"/>
    <col min="2" max="4" width="7.00390625" style="0" customWidth="1"/>
    <col min="5" max="5" width="7.57421875" style="0" customWidth="1"/>
    <col min="6" max="6" width="7.421875" style="0" customWidth="1"/>
    <col min="7" max="7" width="5.140625" style="0" hidden="1" customWidth="1"/>
    <col min="8" max="8" width="4.8515625" style="0" hidden="1" customWidth="1"/>
    <col min="9" max="9" width="8.140625" style="0" customWidth="1"/>
    <col min="10" max="10" width="6.8515625" style="0" customWidth="1"/>
    <col min="11" max="11" width="7.8515625" style="0" customWidth="1"/>
    <col min="12" max="12" width="7.28125" style="0" customWidth="1"/>
    <col min="13" max="13" width="7.7109375" style="0" customWidth="1"/>
    <col min="14" max="14" width="8.28125" style="0" customWidth="1"/>
    <col min="15" max="15" width="7.421875" style="0" customWidth="1"/>
    <col min="16" max="16" width="6.140625" style="0" customWidth="1"/>
    <col min="17" max="17" width="6.28125" style="0" customWidth="1"/>
    <col min="18" max="18" width="6.7109375" style="0" customWidth="1"/>
    <col min="19" max="19" width="7.421875" style="0" customWidth="1"/>
    <col min="20" max="20" width="8.140625" style="0" customWidth="1"/>
  </cols>
  <sheetData>
    <row r="1" spans="1:20" s="48" customFormat="1" ht="12.75">
      <c r="A1" s="109" t="s">
        <v>108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3" spans="1:20" s="2" customFormat="1" ht="77.25" customHeight="1">
      <c r="A3" s="107" t="s">
        <v>40</v>
      </c>
      <c r="B3" s="107" t="s">
        <v>41</v>
      </c>
      <c r="C3" s="107"/>
      <c r="D3" s="107"/>
      <c r="E3" s="107" t="s">
        <v>42</v>
      </c>
      <c r="F3" s="107"/>
      <c r="G3" s="107" t="s">
        <v>43</v>
      </c>
      <c r="H3" s="107"/>
      <c r="I3" s="107" t="s">
        <v>44</v>
      </c>
      <c r="J3" s="107"/>
      <c r="K3" s="107" t="s">
        <v>45</v>
      </c>
      <c r="L3" s="107"/>
      <c r="M3" s="107" t="s">
        <v>46</v>
      </c>
      <c r="N3" s="107"/>
      <c r="O3" s="107"/>
      <c r="P3" s="107" t="s">
        <v>47</v>
      </c>
      <c r="Q3" s="107"/>
      <c r="R3" s="107"/>
      <c r="S3" s="107" t="s">
        <v>64</v>
      </c>
      <c r="T3" s="107"/>
    </row>
    <row r="4" spans="1:20" s="2" customFormat="1" ht="28.5" customHeight="1">
      <c r="A4" s="107"/>
      <c r="B4" s="107" t="s">
        <v>33</v>
      </c>
      <c r="C4" s="107" t="s">
        <v>15</v>
      </c>
      <c r="D4" s="107"/>
      <c r="E4" s="108" t="s">
        <v>48</v>
      </c>
      <c r="F4" s="108" t="s">
        <v>49</v>
      </c>
      <c r="G4" s="108" t="s">
        <v>48</v>
      </c>
      <c r="H4" s="108" t="s">
        <v>49</v>
      </c>
      <c r="I4" s="108" t="s">
        <v>48</v>
      </c>
      <c r="J4" s="108" t="s">
        <v>49</v>
      </c>
      <c r="K4" s="108" t="s">
        <v>48</v>
      </c>
      <c r="L4" s="108" t="s">
        <v>49</v>
      </c>
      <c r="M4" s="107" t="s">
        <v>50</v>
      </c>
      <c r="N4" s="107"/>
      <c r="O4" s="108" t="s">
        <v>51</v>
      </c>
      <c r="P4" s="107" t="s">
        <v>33</v>
      </c>
      <c r="Q4" s="107" t="s">
        <v>15</v>
      </c>
      <c r="R4" s="107"/>
      <c r="S4" s="108" t="s">
        <v>62</v>
      </c>
      <c r="T4" s="108" t="s">
        <v>63</v>
      </c>
    </row>
    <row r="5" spans="1:20" s="2" customFormat="1" ht="103.5" customHeight="1">
      <c r="A5" s="107"/>
      <c r="B5" s="107"/>
      <c r="C5" s="22" t="s">
        <v>52</v>
      </c>
      <c r="D5" s="22" t="s">
        <v>53</v>
      </c>
      <c r="E5" s="108"/>
      <c r="F5" s="108"/>
      <c r="G5" s="108"/>
      <c r="H5" s="108"/>
      <c r="I5" s="108"/>
      <c r="J5" s="108"/>
      <c r="K5" s="108"/>
      <c r="L5" s="108"/>
      <c r="M5" s="1" t="s">
        <v>33</v>
      </c>
      <c r="N5" s="23" t="s">
        <v>54</v>
      </c>
      <c r="O5" s="108"/>
      <c r="P5" s="107"/>
      <c r="Q5" s="22" t="s">
        <v>52</v>
      </c>
      <c r="R5" s="22" t="s">
        <v>53</v>
      </c>
      <c r="S5" s="108"/>
      <c r="T5" s="108"/>
    </row>
    <row r="6" spans="1:20" s="3" customFormat="1" ht="24.75" customHeight="1">
      <c r="A6" s="21" t="s">
        <v>55</v>
      </c>
      <c r="B6" s="26">
        <f aca="true" t="shared" si="0" ref="B6:B11">SUM(C6:D6)</f>
        <v>2037.0782399999998</v>
      </c>
      <c r="C6" s="26">
        <v>1514.230997</v>
      </c>
      <c r="D6" s="27">
        <v>522.847243</v>
      </c>
      <c r="E6" s="27">
        <f>SUM(E12-E7)</f>
        <v>19601.58092</v>
      </c>
      <c r="F6" s="27">
        <f>SUM(F12-F7)</f>
        <v>2303.41917</v>
      </c>
      <c r="G6" s="27">
        <v>0</v>
      </c>
      <c r="H6" s="27">
        <v>0</v>
      </c>
      <c r="I6" s="27">
        <f aca="true" t="shared" si="1" ref="I6:J12">SUM(E6-G6)</f>
        <v>19601.58092</v>
      </c>
      <c r="J6" s="27">
        <f t="shared" si="1"/>
        <v>2303.41917</v>
      </c>
      <c r="K6" s="27">
        <f>SUM(L6)+'опл. авг.'!K6</f>
        <v>18657.90226</v>
      </c>
      <c r="L6" s="27">
        <f>SUM(L12-L7)</f>
        <v>2183.50205</v>
      </c>
      <c r="M6" s="27">
        <f aca="true" t="shared" si="2" ref="M6:M12">SUM(K6)</f>
        <v>18657.90226</v>
      </c>
      <c r="N6" s="27">
        <f>SUM(N12-N7)</f>
        <v>401.8341252698765</v>
      </c>
      <c r="O6" s="27">
        <f aca="true" t="shared" si="3" ref="O6:O12">SUM(L6)</f>
        <v>2183.50205</v>
      </c>
      <c r="P6" s="27">
        <f aca="true" t="shared" si="4" ref="P6:P12">SUM(B6+E6-K6)</f>
        <v>2980.7569000000003</v>
      </c>
      <c r="Q6" s="27">
        <f>SUM(Q12-Q7)</f>
        <v>2153.8490586121093</v>
      </c>
      <c r="R6" s="27">
        <f>SUM(R12-R7)</f>
        <v>826.9078413878929</v>
      </c>
      <c r="S6" s="38">
        <f>SUM((K6)/(E6))</f>
        <v>0.9518570127658865</v>
      </c>
      <c r="T6" s="38">
        <f aca="true" t="shared" si="5" ref="T6:T11">SUM((L6)/(J6+B6))</f>
        <v>0.5030534161751752</v>
      </c>
    </row>
    <row r="7" spans="1:20" s="3" customFormat="1" ht="41.25" customHeight="1">
      <c r="A7" s="21" t="s">
        <v>56</v>
      </c>
      <c r="B7" s="26">
        <f t="shared" si="0"/>
        <v>3951.1929099999998</v>
      </c>
      <c r="C7" s="27">
        <f>SUM(C8:C11)</f>
        <v>2937.0589019999998</v>
      </c>
      <c r="D7" s="27">
        <f>SUM(D8:D11)</f>
        <v>1014.134008</v>
      </c>
      <c r="E7" s="27">
        <f>SUM(E8:E11)</f>
        <v>27297.19844</v>
      </c>
      <c r="F7" s="27">
        <f>SUM(F8:F11)</f>
        <v>1409.4757399999999</v>
      </c>
      <c r="G7" s="27">
        <v>0</v>
      </c>
      <c r="H7" s="27">
        <v>0</v>
      </c>
      <c r="I7" s="27">
        <f t="shared" si="1"/>
        <v>27297.19844</v>
      </c>
      <c r="J7" s="27">
        <f t="shared" si="1"/>
        <v>1409.4757399999999</v>
      </c>
      <c r="K7" s="27">
        <f>SUM(L7)+'опл. авг.'!K7</f>
        <v>27723.303269999997</v>
      </c>
      <c r="L7" s="27">
        <f>SUM(L8:L11)</f>
        <v>1443.81467</v>
      </c>
      <c r="M7" s="27">
        <f t="shared" si="2"/>
        <v>27723.303269999997</v>
      </c>
      <c r="N7" s="27">
        <f>SUM(N12/M12)*M7</f>
        <v>597.0751247301234</v>
      </c>
      <c r="O7" s="27">
        <f t="shared" si="3"/>
        <v>1443.81467</v>
      </c>
      <c r="P7" s="27">
        <f t="shared" si="4"/>
        <v>3525.0880800000014</v>
      </c>
      <c r="Q7" s="27">
        <f>SUM(Q8:Q11)</f>
        <v>2547.1743913878922</v>
      </c>
      <c r="R7" s="27">
        <f>SUM(R8:R11)</f>
        <v>977.9136886121071</v>
      </c>
      <c r="S7" s="38">
        <f aca="true" t="shared" si="6" ref="S7:S12">SUM((K7)/(E7))</f>
        <v>1.0156098374320934</v>
      </c>
      <c r="T7" s="38">
        <f t="shared" si="5"/>
        <v>0.2693348095670864</v>
      </c>
    </row>
    <row r="8" spans="1:20" s="2" customFormat="1" ht="24.75" customHeight="1">
      <c r="A8" s="20" t="s">
        <v>57</v>
      </c>
      <c r="B8" s="28">
        <f t="shared" si="0"/>
        <v>983.69713</v>
      </c>
      <c r="C8" s="29">
        <v>731.216237</v>
      </c>
      <c r="D8" s="29">
        <v>252.480893</v>
      </c>
      <c r="E8" s="29">
        <f>SUM('Начисл.2016'!U22)/1000</f>
        <v>7273.10966</v>
      </c>
      <c r="F8" s="29">
        <f>SUM('Начисл.2016'!U21)/1000</f>
        <v>920.01874</v>
      </c>
      <c r="G8" s="29">
        <v>0</v>
      </c>
      <c r="H8" s="29">
        <v>0</v>
      </c>
      <c r="I8" s="29">
        <f t="shared" si="1"/>
        <v>7273.10966</v>
      </c>
      <c r="J8" s="29">
        <f t="shared" si="1"/>
        <v>920.01874</v>
      </c>
      <c r="K8" s="29">
        <f>SUM(L8)+'опл. авг.'!K8</f>
        <v>6838.03356</v>
      </c>
      <c r="L8" s="29">
        <v>873.17594</v>
      </c>
      <c r="M8" s="29">
        <f t="shared" si="2"/>
        <v>6838.03356</v>
      </c>
      <c r="N8" s="29">
        <f>SUM(N12/M12)*M8</f>
        <v>147.27031988153735</v>
      </c>
      <c r="O8" s="29">
        <f t="shared" si="3"/>
        <v>873.17594</v>
      </c>
      <c r="P8" s="29">
        <f t="shared" si="4"/>
        <v>1418.7732300000007</v>
      </c>
      <c r="Q8" s="29">
        <f>SUM(Q12/P12)*P8</f>
        <v>1025.183699421969</v>
      </c>
      <c r="R8" s="29">
        <f>SUM(R12/Q12)*Q8</f>
        <v>393.58953057803143</v>
      </c>
      <c r="S8" s="38">
        <f t="shared" si="6"/>
        <v>0.9401801814713735</v>
      </c>
      <c r="T8" s="38">
        <f t="shared" si="5"/>
        <v>0.45866925509214773</v>
      </c>
    </row>
    <row r="9" spans="1:20" s="2" customFormat="1" ht="21.75" customHeight="1">
      <c r="A9" s="20" t="s">
        <v>58</v>
      </c>
      <c r="B9" s="28">
        <f t="shared" si="0"/>
        <v>573.44926</v>
      </c>
      <c r="C9" s="29">
        <v>426.264749</v>
      </c>
      <c r="D9" s="29">
        <v>147.184511</v>
      </c>
      <c r="E9" s="29">
        <f>SUM('Начисл.2016'!V22)/1000</f>
        <v>4051.56117</v>
      </c>
      <c r="F9" s="29">
        <f>SUM('Начисл.2016'!V21)/1000</f>
        <v>489.457</v>
      </c>
      <c r="G9" s="29">
        <v>0</v>
      </c>
      <c r="H9" s="29">
        <v>0</v>
      </c>
      <c r="I9" s="29">
        <f t="shared" si="1"/>
        <v>4051.56117</v>
      </c>
      <c r="J9" s="29">
        <f t="shared" si="1"/>
        <v>489.457</v>
      </c>
      <c r="K9" s="29">
        <f>SUM(L9)+'опл. авг.'!K9</f>
        <v>3845.42289</v>
      </c>
      <c r="L9" s="29">
        <v>470.09005</v>
      </c>
      <c r="M9" s="29">
        <f t="shared" si="2"/>
        <v>3845.42289</v>
      </c>
      <c r="N9" s="29">
        <f>SUM(N12/M12)*M9</f>
        <v>82.8186428336403</v>
      </c>
      <c r="O9" s="29">
        <f t="shared" si="3"/>
        <v>470.09005</v>
      </c>
      <c r="P9" s="29">
        <f t="shared" si="4"/>
        <v>779.5875400000004</v>
      </c>
      <c r="Q9" s="29">
        <f>SUM(Q12/P12)*P9</f>
        <v>563.3179576418089</v>
      </c>
      <c r="R9" s="29">
        <f>SUM(R12/Q12)*Q9</f>
        <v>216.26958235819146</v>
      </c>
      <c r="S9" s="38">
        <f t="shared" si="6"/>
        <v>0.9491212716899446</v>
      </c>
      <c r="T9" s="38">
        <f t="shared" si="5"/>
        <v>0.4422685872599904</v>
      </c>
    </row>
    <row r="10" spans="1:20" s="2" customFormat="1" ht="20.25" customHeight="1">
      <c r="A10" s="20" t="s">
        <v>59</v>
      </c>
      <c r="B10" s="28">
        <f t="shared" si="0"/>
        <v>0</v>
      </c>
      <c r="C10" s="28">
        <v>0</v>
      </c>
      <c r="D10" s="28">
        <v>0</v>
      </c>
      <c r="E10" s="29">
        <f>SUM('Начисл.2016'!Y22)/1000</f>
        <v>0</v>
      </c>
      <c r="F10" s="29">
        <f>SUM('Начисл.2016'!Y21)/1000</f>
        <v>0</v>
      </c>
      <c r="G10" s="29">
        <v>0</v>
      </c>
      <c r="H10" s="29">
        <v>0</v>
      </c>
      <c r="I10" s="29">
        <f t="shared" si="1"/>
        <v>0</v>
      </c>
      <c r="J10" s="29">
        <f t="shared" si="1"/>
        <v>0</v>
      </c>
      <c r="K10" s="29">
        <f>SUM(L10)+'опл. авг.'!K10</f>
        <v>0</v>
      </c>
      <c r="L10" s="29">
        <v>0</v>
      </c>
      <c r="M10" s="29">
        <f t="shared" si="2"/>
        <v>0</v>
      </c>
      <c r="N10" s="29">
        <f>SUM(N12/M12)*M10</f>
        <v>0</v>
      </c>
      <c r="O10" s="29">
        <f t="shared" si="3"/>
        <v>0</v>
      </c>
      <c r="P10" s="29">
        <f t="shared" si="4"/>
        <v>0</v>
      </c>
      <c r="Q10" s="29">
        <f>SUM(Q12/P12)*P10</f>
        <v>0</v>
      </c>
      <c r="R10" s="29">
        <f>SUM(P10-Q10)</f>
        <v>0</v>
      </c>
      <c r="S10" s="38">
        <v>0</v>
      </c>
      <c r="T10" s="44">
        <v>0</v>
      </c>
    </row>
    <row r="11" spans="1:20" s="2" customFormat="1" ht="21" customHeight="1">
      <c r="A11" s="20" t="s">
        <v>60</v>
      </c>
      <c r="B11" s="29">
        <f t="shared" si="0"/>
        <v>2394.04652</v>
      </c>
      <c r="C11" s="29">
        <v>1779.577916</v>
      </c>
      <c r="D11" s="29">
        <v>614.468604</v>
      </c>
      <c r="E11" s="29">
        <f>SUM('Начисл.2016'!W22)/1000</f>
        <v>15972.527610000001</v>
      </c>
      <c r="F11" s="29">
        <f>SUM('Начисл.2016'!W21)/1000</f>
        <v>0</v>
      </c>
      <c r="G11" s="29">
        <v>0</v>
      </c>
      <c r="H11" s="29">
        <v>0</v>
      </c>
      <c r="I11" s="29">
        <f t="shared" si="1"/>
        <v>15972.527610000001</v>
      </c>
      <c r="J11" s="29">
        <f t="shared" si="1"/>
        <v>0</v>
      </c>
      <c r="K11" s="29">
        <f>SUM(L11)+'опл. авг.'!K11</f>
        <v>17039.846820000002</v>
      </c>
      <c r="L11" s="29">
        <v>100.54868</v>
      </c>
      <c r="M11" s="29">
        <f t="shared" si="2"/>
        <v>17039.846820000002</v>
      </c>
      <c r="N11" s="29">
        <f>SUM(N12/M12)*M11</f>
        <v>366.98616201494593</v>
      </c>
      <c r="O11" s="29">
        <f t="shared" si="3"/>
        <v>100.54868</v>
      </c>
      <c r="P11" s="29">
        <f t="shared" si="4"/>
        <v>1326.7273099999984</v>
      </c>
      <c r="Q11" s="29">
        <f>SUM(Q12/P12)*P11</f>
        <v>958.6727343241142</v>
      </c>
      <c r="R11" s="29">
        <f>SUM(R12/Q12)*Q11</f>
        <v>368.0545756758841</v>
      </c>
      <c r="S11" s="38">
        <f t="shared" si="6"/>
        <v>1.066822185947062</v>
      </c>
      <c r="T11" s="38">
        <f t="shared" si="5"/>
        <v>0.041999467913430524</v>
      </c>
    </row>
    <row r="12" spans="1:20" s="3" customFormat="1" ht="24" customHeight="1">
      <c r="A12" s="21" t="s">
        <v>61</v>
      </c>
      <c r="B12" s="26">
        <f>SUM(B6)+B7</f>
        <v>5988.27115</v>
      </c>
      <c r="C12" s="27">
        <f>SUM(C6)+C7</f>
        <v>4451.289898999999</v>
      </c>
      <c r="D12" s="27">
        <f>SUM(D6)+D7</f>
        <v>1536.9812510000002</v>
      </c>
      <c r="E12" s="27">
        <f>SUM('Начисл.2016'!AH22)/1000</f>
        <v>46898.77936</v>
      </c>
      <c r="F12" s="27">
        <f>SUM('Начисл.2016'!AH21)/1000</f>
        <v>3712.89491</v>
      </c>
      <c r="G12" s="27">
        <v>0</v>
      </c>
      <c r="H12" s="27">
        <v>0</v>
      </c>
      <c r="I12" s="27">
        <f t="shared" si="1"/>
        <v>46898.77936</v>
      </c>
      <c r="J12" s="27">
        <f t="shared" si="1"/>
        <v>3712.89491</v>
      </c>
      <c r="K12" s="27">
        <f>SUM('Начисл.2016'!AI22)/1000</f>
        <v>46381.20553</v>
      </c>
      <c r="L12" s="53">
        <f>SUM('Начисл.2016'!AI21)/1000</f>
        <v>3627.3167200000003</v>
      </c>
      <c r="M12" s="27">
        <f t="shared" si="2"/>
        <v>46381.20553</v>
      </c>
      <c r="N12" s="27">
        <f>SUM(N38)</f>
        <v>998.9092499999999</v>
      </c>
      <c r="O12" s="27">
        <f t="shared" si="3"/>
        <v>3627.3167200000003</v>
      </c>
      <c r="P12" s="29">
        <f t="shared" si="4"/>
        <v>6505.844980000002</v>
      </c>
      <c r="Q12" s="94">
        <f>SUM(P12-R12)</f>
        <v>4701.0234500000015</v>
      </c>
      <c r="R12" s="29">
        <f>SUM(T45)/1000</f>
        <v>1804.82153</v>
      </c>
      <c r="S12" s="38">
        <f t="shared" si="6"/>
        <v>0.9889640234338073</v>
      </c>
      <c r="T12" s="38">
        <f>SUM((L12)/(J12+B12))</f>
        <v>0.3739052292853959</v>
      </c>
    </row>
    <row r="13" spans="1:20" s="3" customFormat="1" ht="24" customHeight="1">
      <c r="A13" s="49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52"/>
    </row>
    <row r="14" spans="1:20" s="3" customFormat="1" ht="24" customHeight="1">
      <c r="A14" s="49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  <c r="T14" s="52"/>
    </row>
    <row r="16" ht="12.75">
      <c r="A16" t="s">
        <v>34</v>
      </c>
    </row>
    <row r="17" ht="12.75">
      <c r="A17" t="s">
        <v>35</v>
      </c>
    </row>
    <row r="25" ht="12.75" hidden="1"/>
    <row r="26" ht="12.75" hidden="1">
      <c r="N26">
        <f>SUM('опл. авг.'!N26)</f>
        <v>64.25493</v>
      </c>
    </row>
    <row r="27" ht="12.75" hidden="1">
      <c r="N27">
        <f>SUM('опл. авг.'!N27)</f>
        <v>122.42421</v>
      </c>
    </row>
    <row r="28" ht="12.75" hidden="1">
      <c r="N28">
        <f>SUM('опл. авг.'!N28)</f>
        <v>191.12239</v>
      </c>
    </row>
    <row r="29" ht="12.75" hidden="1">
      <c r="N29">
        <f>SUM('опл. авг.'!N29)</f>
        <v>224.8662</v>
      </c>
    </row>
    <row r="30" ht="12.75" hidden="1">
      <c r="N30">
        <f>SUM('опл. авг.'!N30)</f>
        <v>123.86081</v>
      </c>
    </row>
    <row r="31" ht="12.75" hidden="1">
      <c r="N31">
        <f>SUM('опл. авг.'!N31)</f>
        <v>59.06443</v>
      </c>
    </row>
    <row r="32" ht="12.75" hidden="1">
      <c r="N32">
        <f>SUM('опл. авг.'!N32)</f>
        <v>33.96069</v>
      </c>
    </row>
    <row r="33" ht="12.75" hidden="1">
      <c r="N33">
        <v>64.22679</v>
      </c>
    </row>
    <row r="34" spans="2:19" ht="12.75" hidden="1">
      <c r="B34">
        <f>SUM(B7,B6)</f>
        <v>5988.27115</v>
      </c>
      <c r="C34" s="36">
        <f>SUM(C7,C6)</f>
        <v>4451.289898999999</v>
      </c>
      <c r="D34">
        <f>SUM(D7,D6)</f>
        <v>1536.9812510000002</v>
      </c>
      <c r="E34" s="30">
        <f>SUM(E8:E11,E6)</f>
        <v>46898.77936</v>
      </c>
      <c r="F34" s="30">
        <f>SUM(F8:F11,F6)</f>
        <v>3712.89491</v>
      </c>
      <c r="G34" s="31">
        <v>0</v>
      </c>
      <c r="H34" s="31">
        <v>0</v>
      </c>
      <c r="I34" s="30">
        <f>SUM(I8:I11,I6)</f>
        <v>46898.77936</v>
      </c>
      <c r="J34" s="30">
        <f>SUM(J8:J11,J6)</f>
        <v>3712.89491</v>
      </c>
      <c r="K34" s="30">
        <f>SUM(K8:K11,K6)</f>
        <v>46381.20553000001</v>
      </c>
      <c r="L34" s="31">
        <f>SUM('Начисл.2016'!AI13)/1000</f>
        <v>5128.04309</v>
      </c>
      <c r="M34" s="31">
        <f>SUM('Начисл.2016'!AI22)/1000</f>
        <v>46381.20553</v>
      </c>
      <c r="N34" s="31">
        <v>115.1288</v>
      </c>
      <c r="O34" s="31">
        <f>SUM('Начисл.2016'!AI21)/1000</f>
        <v>3627.3167200000003</v>
      </c>
      <c r="P34" s="33">
        <f>SUM('Начисл.2016'!AJ22)/1000</f>
        <v>6505.785269999996</v>
      </c>
      <c r="Q34" s="33">
        <v>4701.02</v>
      </c>
      <c r="R34" s="30">
        <f>SUM(R8:R11,R6)</f>
        <v>1804.82153</v>
      </c>
      <c r="S34" s="31"/>
    </row>
    <row r="35" spans="2:19" ht="12.75" hidden="1">
      <c r="B35">
        <f>SUM(B8:B11,B6)</f>
        <v>5988.27115</v>
      </c>
      <c r="C35" s="36">
        <f>SUM(C8:C11,C6)</f>
        <v>4451.289898999999</v>
      </c>
      <c r="D35">
        <f>SUM(D8:D11,D6)</f>
        <v>1536.9812510000002</v>
      </c>
      <c r="E35" s="30">
        <f>SUM(E34-E12)</f>
        <v>0</v>
      </c>
      <c r="F35" s="30">
        <f>SUM(F34-F12)</f>
        <v>0</v>
      </c>
      <c r="G35" s="31">
        <v>0</v>
      </c>
      <c r="H35" s="31">
        <v>0</v>
      </c>
      <c r="I35" s="30">
        <f>SUM(I12-I34)</f>
        <v>0</v>
      </c>
      <c r="J35" s="30">
        <f aca="true" t="shared" si="7" ref="J35:R35">SUM(J12-J34)</f>
        <v>0</v>
      </c>
      <c r="K35" s="30">
        <f t="shared" si="7"/>
        <v>-7.275957614183426E-12</v>
      </c>
      <c r="L35" s="31"/>
      <c r="M35" s="30">
        <f t="shared" si="7"/>
        <v>0</v>
      </c>
      <c r="N35" s="31">
        <v>0</v>
      </c>
      <c r="O35" s="30">
        <f t="shared" si="7"/>
        <v>0</v>
      </c>
      <c r="P35" s="33">
        <f>SUM(P7,P6)</f>
        <v>6505.844980000002</v>
      </c>
      <c r="Q35" s="30">
        <f t="shared" si="7"/>
        <v>0.0034500000010666554</v>
      </c>
      <c r="R35" s="30">
        <f t="shared" si="7"/>
        <v>0</v>
      </c>
      <c r="S35" s="31"/>
    </row>
    <row r="36" spans="5:19" ht="12.75" hidden="1">
      <c r="E36" s="31"/>
      <c r="F36" s="31"/>
      <c r="G36" s="31"/>
      <c r="H36" s="31"/>
      <c r="I36" s="31"/>
      <c r="J36" s="31"/>
      <c r="K36" s="31"/>
      <c r="L36" s="31">
        <f>SUM(L34-L35)</f>
        <v>5128.04309</v>
      </c>
      <c r="M36" s="31"/>
      <c r="N36" s="31">
        <v>0</v>
      </c>
      <c r="O36" s="31"/>
      <c r="P36" s="33">
        <f>SUM(P34-P35)</f>
        <v>-0.059710000005907204</v>
      </c>
      <c r="Q36" s="33">
        <f>SUM(Q7,Q6)</f>
        <v>4701.0234500000015</v>
      </c>
      <c r="R36" s="31"/>
      <c r="S36" s="31"/>
    </row>
    <row r="37" spans="5:19" ht="12.75" hidden="1">
      <c r="E37" s="31"/>
      <c r="F37" s="31"/>
      <c r="G37" s="31"/>
      <c r="H37" s="31"/>
      <c r="I37" s="31"/>
      <c r="J37" s="31"/>
      <c r="K37" s="31"/>
      <c r="L37" s="31"/>
      <c r="M37" s="31"/>
      <c r="N37" s="31">
        <v>0</v>
      </c>
      <c r="O37" s="31"/>
      <c r="P37" s="33"/>
      <c r="Q37" s="33"/>
      <c r="R37" s="31"/>
      <c r="S37" s="31"/>
    </row>
    <row r="38" spans="5:19" ht="12.75" hidden="1">
      <c r="E38" s="31"/>
      <c r="F38" s="31"/>
      <c r="G38" s="31"/>
      <c r="H38" s="31"/>
      <c r="I38" s="31"/>
      <c r="J38" s="31"/>
      <c r="K38" s="31"/>
      <c r="L38" s="31"/>
      <c r="M38" s="31"/>
      <c r="N38" s="31">
        <f>SUM(N25:N37)</f>
        <v>998.9092499999999</v>
      </c>
      <c r="O38" s="31"/>
      <c r="P38" s="31"/>
      <c r="Q38" s="31"/>
      <c r="R38" s="31"/>
      <c r="S38" s="31"/>
    </row>
    <row r="39" spans="5:19" ht="12.75" hidden="1">
      <c r="E39" s="31"/>
      <c r="F39" s="31"/>
      <c r="G39" s="31"/>
      <c r="H39" s="31"/>
      <c r="I39" s="31"/>
      <c r="J39" s="31"/>
      <c r="K39" s="31"/>
      <c r="L39" s="31"/>
      <c r="M39" s="31"/>
      <c r="N39" s="32"/>
      <c r="O39" s="31"/>
      <c r="P39" s="31"/>
      <c r="Q39" s="31"/>
      <c r="R39" s="31"/>
      <c r="S39" s="31"/>
    </row>
    <row r="40" spans="5:19" ht="12.75" hidden="1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5:19" ht="12.75" hidden="1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ht="12.75" hidden="1"/>
    <row r="43" ht="12.75" hidden="1">
      <c r="T43" s="31" t="s">
        <v>3</v>
      </c>
    </row>
    <row r="44" spans="19:21" ht="12.75" hidden="1">
      <c r="S44" s="95">
        <f>SUM(T44:W44)</f>
        <v>5031910.06</v>
      </c>
      <c r="T44" s="96">
        <v>5031910.06</v>
      </c>
      <c r="U44" s="97" t="s">
        <v>116</v>
      </c>
    </row>
    <row r="45" spans="20:21" ht="12.75" hidden="1">
      <c r="T45" s="55">
        <v>1804821.53</v>
      </c>
      <c r="U45" t="s">
        <v>92</v>
      </c>
    </row>
    <row r="46" ht="12.75" hidden="1"/>
    <row r="47" ht="12.75" hidden="1"/>
    <row r="48" ht="12.75" hidden="1"/>
  </sheetData>
  <sheetProtection/>
  <mergeCells count="26">
    <mergeCell ref="P4:P5"/>
    <mergeCell ref="Q4:R4"/>
    <mergeCell ref="S4:S5"/>
    <mergeCell ref="T4:T5"/>
    <mergeCell ref="I4:I5"/>
    <mergeCell ref="J4:J5"/>
    <mergeCell ref="K4:K5"/>
    <mergeCell ref="L4:L5"/>
    <mergeCell ref="M4:N4"/>
    <mergeCell ref="O4:O5"/>
    <mergeCell ref="B4:B5"/>
    <mergeCell ref="C4:D4"/>
    <mergeCell ref="E4:E5"/>
    <mergeCell ref="F4:F5"/>
    <mergeCell ref="G4:G5"/>
    <mergeCell ref="H4:H5"/>
    <mergeCell ref="A1:T1"/>
    <mergeCell ref="A3:A5"/>
    <mergeCell ref="B3:D3"/>
    <mergeCell ref="E3:F3"/>
    <mergeCell ref="G3:H3"/>
    <mergeCell ref="I3:J3"/>
    <mergeCell ref="K3:L3"/>
    <mergeCell ref="M3:O3"/>
    <mergeCell ref="P3:R3"/>
    <mergeCell ref="S3:T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2017-01-17T07:15:48Z</cp:lastPrinted>
  <dcterms:created xsi:type="dcterms:W3CDTF">1996-10-08T23:32:33Z</dcterms:created>
  <dcterms:modified xsi:type="dcterms:W3CDTF">2017-07-05T05:59:26Z</dcterms:modified>
  <cp:category/>
  <cp:version/>
  <cp:contentType/>
  <cp:contentStatus/>
</cp:coreProperties>
</file>